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winona-my.sharepoint.com/personal/citysecretary_winonatx_gov/Documents/Budget/"/>
    </mc:Choice>
  </mc:AlternateContent>
  <xr:revisionPtr revIDLastSave="238" documentId="8_{4A21C44E-E7B1-4DA5-8267-097C5CA55475}" xr6:coauthVersionLast="47" xr6:coauthVersionMax="47" xr10:uidLastSave="{007DA62E-ABDC-436F-8814-6D05330D52E2}"/>
  <bookViews>
    <workbookView minimized="1" xWindow="3075" yWindow="345" windowWidth="14175" windowHeight="15480" xr2:uid="{00000000-000D-0000-FFFF-FFFF00000000}"/>
  </bookViews>
  <sheets>
    <sheet name="Budget vs. Actuals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AE25" i="1"/>
  <c r="AD25" i="1"/>
  <c r="AC25" i="1"/>
  <c r="AB25" i="1"/>
  <c r="Y25" i="1"/>
  <c r="X25" i="1"/>
  <c r="U25" i="1"/>
  <c r="T25" i="1"/>
  <c r="Q25" i="1"/>
  <c r="P25" i="1"/>
  <c r="M25" i="1"/>
  <c r="L25" i="1"/>
  <c r="I25" i="1"/>
  <c r="H25" i="1"/>
  <c r="E25" i="1"/>
  <c r="D25" i="1"/>
  <c r="AE153" i="1"/>
  <c r="AG153" i="1" s="1"/>
  <c r="AD153" i="1"/>
  <c r="AC153" i="1"/>
  <c r="AB153" i="1"/>
  <c r="Y153" i="1"/>
  <c r="X153" i="1"/>
  <c r="U153" i="1"/>
  <c r="T153" i="1"/>
  <c r="Q153" i="1"/>
  <c r="P153" i="1"/>
  <c r="M153" i="1"/>
  <c r="L153" i="1"/>
  <c r="I153" i="1"/>
  <c r="H153" i="1"/>
  <c r="E153" i="1"/>
  <c r="B153" i="1"/>
  <c r="D153" i="1" s="1"/>
  <c r="W152" i="1"/>
  <c r="Y152" i="1" s="1"/>
  <c r="V152" i="1"/>
  <c r="S152" i="1"/>
  <c r="U152" i="1" s="1"/>
  <c r="R152" i="1"/>
  <c r="K152" i="1"/>
  <c r="M152" i="1" s="1"/>
  <c r="J152" i="1"/>
  <c r="G152" i="1"/>
  <c r="I152" i="1" s="1"/>
  <c r="F152" i="1"/>
  <c r="C152" i="1"/>
  <c r="Y151" i="1"/>
  <c r="X151" i="1"/>
  <c r="U151" i="1"/>
  <c r="T151" i="1"/>
  <c r="O152" i="1"/>
  <c r="N152" i="1"/>
  <c r="M151" i="1"/>
  <c r="L151" i="1"/>
  <c r="I151" i="1"/>
  <c r="H151" i="1"/>
  <c r="E151" i="1"/>
  <c r="D151" i="1"/>
  <c r="AE150" i="1"/>
  <c r="AG150" i="1" s="1"/>
  <c r="AC150" i="1"/>
  <c r="AB150" i="1"/>
  <c r="Y150" i="1"/>
  <c r="X150" i="1"/>
  <c r="U150" i="1"/>
  <c r="T150" i="1"/>
  <c r="Q150" i="1"/>
  <c r="P150" i="1"/>
  <c r="M150" i="1"/>
  <c r="L150" i="1"/>
  <c r="I150" i="1"/>
  <c r="H150" i="1"/>
  <c r="E150" i="1"/>
  <c r="AD150" i="1"/>
  <c r="AC149" i="1"/>
  <c r="Z149" i="1"/>
  <c r="Y149" i="1"/>
  <c r="X149" i="1"/>
  <c r="U149" i="1"/>
  <c r="T149" i="1"/>
  <c r="Q149" i="1"/>
  <c r="P149" i="1"/>
  <c r="M149" i="1"/>
  <c r="L149" i="1"/>
  <c r="I149" i="1"/>
  <c r="H149" i="1"/>
  <c r="E149" i="1"/>
  <c r="D149" i="1"/>
  <c r="AE148" i="1"/>
  <c r="AG148" i="1" s="1"/>
  <c r="AC148" i="1"/>
  <c r="AB148" i="1"/>
  <c r="Y148" i="1"/>
  <c r="X148" i="1"/>
  <c r="U148" i="1"/>
  <c r="T148" i="1"/>
  <c r="Q148" i="1"/>
  <c r="P148" i="1"/>
  <c r="M148" i="1"/>
  <c r="L148" i="1"/>
  <c r="I148" i="1"/>
  <c r="H148" i="1"/>
  <c r="E148" i="1"/>
  <c r="B148" i="1"/>
  <c r="Z147" i="1"/>
  <c r="W147" i="1"/>
  <c r="W154" i="1" s="1"/>
  <c r="Y154" i="1" s="1"/>
  <c r="V147" i="1"/>
  <c r="S147" i="1"/>
  <c r="R147" i="1"/>
  <c r="O147" i="1"/>
  <c r="Q147" i="1" s="1"/>
  <c r="N147" i="1"/>
  <c r="P147" i="1" s="1"/>
  <c r="K147" i="1"/>
  <c r="K154" i="1" s="1"/>
  <c r="M154" i="1" s="1"/>
  <c r="J147" i="1"/>
  <c r="G147" i="1"/>
  <c r="F147" i="1"/>
  <c r="C147" i="1"/>
  <c r="B147" i="1"/>
  <c r="AD146" i="1"/>
  <c r="AA146" i="1"/>
  <c r="AC146" i="1" s="1"/>
  <c r="Y146" i="1"/>
  <c r="X146" i="1"/>
  <c r="U146" i="1"/>
  <c r="T146" i="1"/>
  <c r="Q146" i="1"/>
  <c r="P146" i="1"/>
  <c r="M146" i="1"/>
  <c r="L146" i="1"/>
  <c r="I146" i="1"/>
  <c r="H146" i="1"/>
  <c r="E146" i="1"/>
  <c r="D146" i="1"/>
  <c r="AD145" i="1"/>
  <c r="Y145" i="1"/>
  <c r="X145" i="1"/>
  <c r="U145" i="1"/>
  <c r="T145" i="1"/>
  <c r="Q145" i="1"/>
  <c r="P145" i="1"/>
  <c r="M145" i="1"/>
  <c r="L145" i="1"/>
  <c r="I145" i="1"/>
  <c r="H145" i="1"/>
  <c r="E145" i="1"/>
  <c r="D145" i="1"/>
  <c r="AE144" i="1"/>
  <c r="AG144" i="1" s="1"/>
  <c r="AD144" i="1"/>
  <c r="AC144" i="1"/>
  <c r="AB144" i="1"/>
  <c r="Y144" i="1"/>
  <c r="X144" i="1"/>
  <c r="U144" i="1"/>
  <c r="T144" i="1"/>
  <c r="Q144" i="1"/>
  <c r="P144" i="1"/>
  <c r="M144" i="1"/>
  <c r="L144" i="1"/>
  <c r="I144" i="1"/>
  <c r="H144" i="1"/>
  <c r="E144" i="1"/>
  <c r="D144" i="1"/>
  <c r="W142" i="1"/>
  <c r="V142" i="1"/>
  <c r="S142" i="1"/>
  <c r="U142" i="1" s="1"/>
  <c r="K142" i="1"/>
  <c r="J142" i="1"/>
  <c r="AC141" i="1"/>
  <c r="Z141" i="1"/>
  <c r="AB141" i="1" s="1"/>
  <c r="Y141" i="1"/>
  <c r="X141" i="1"/>
  <c r="U141" i="1"/>
  <c r="R141" i="1"/>
  <c r="R142" i="1" s="1"/>
  <c r="Q141" i="1"/>
  <c r="N141" i="1"/>
  <c r="M141" i="1"/>
  <c r="L141" i="1"/>
  <c r="I141" i="1"/>
  <c r="F141" i="1"/>
  <c r="F142" i="1" s="1"/>
  <c r="C141" i="1"/>
  <c r="AE141" i="1" s="1"/>
  <c r="B141" i="1"/>
  <c r="AD140" i="1"/>
  <c r="AC140" i="1"/>
  <c r="AB140" i="1"/>
  <c r="Y140" i="1"/>
  <c r="X140" i="1"/>
  <c r="U140" i="1"/>
  <c r="T140" i="1"/>
  <c r="Q140" i="1"/>
  <c r="P140" i="1"/>
  <c r="M140" i="1"/>
  <c r="L140" i="1"/>
  <c r="I140" i="1"/>
  <c r="H140" i="1"/>
  <c r="C140" i="1"/>
  <c r="AE140" i="1" s="1"/>
  <c r="AA139" i="1"/>
  <c r="AA142" i="1" s="1"/>
  <c r="Z139" i="1"/>
  <c r="Z142" i="1" s="1"/>
  <c r="Y139" i="1"/>
  <c r="X139" i="1"/>
  <c r="U139" i="1"/>
  <c r="T139" i="1"/>
  <c r="O139" i="1"/>
  <c r="N139" i="1"/>
  <c r="M139" i="1"/>
  <c r="L139" i="1"/>
  <c r="G139" i="1"/>
  <c r="H139" i="1" s="1"/>
  <c r="C139" i="1"/>
  <c r="B139" i="1"/>
  <c r="AE135" i="1"/>
  <c r="AG135" i="1" s="1"/>
  <c r="AC135" i="1"/>
  <c r="AB135" i="1"/>
  <c r="Y135" i="1"/>
  <c r="X135" i="1"/>
  <c r="U135" i="1"/>
  <c r="T135" i="1"/>
  <c r="Q135" i="1"/>
  <c r="P135" i="1"/>
  <c r="M135" i="1"/>
  <c r="L135" i="1"/>
  <c r="I135" i="1"/>
  <c r="H135" i="1"/>
  <c r="E135" i="1"/>
  <c r="B135" i="1"/>
  <c r="AD135" i="1" s="1"/>
  <c r="W134" i="1"/>
  <c r="Y134" i="1" s="1"/>
  <c r="V134" i="1"/>
  <c r="X134" i="1" s="1"/>
  <c r="S134" i="1"/>
  <c r="R134" i="1"/>
  <c r="K134" i="1"/>
  <c r="M134" i="1" s="1"/>
  <c r="J134" i="1"/>
  <c r="L134" i="1" s="1"/>
  <c r="G134" i="1"/>
  <c r="I134" i="1" s="1"/>
  <c r="F134" i="1"/>
  <c r="AA133" i="1"/>
  <c r="Z133" i="1"/>
  <c r="Y133" i="1"/>
  <c r="X133" i="1"/>
  <c r="U133" i="1"/>
  <c r="T133" i="1"/>
  <c r="Q133" i="1"/>
  <c r="P133" i="1"/>
  <c r="M133" i="1"/>
  <c r="L133" i="1"/>
  <c r="I133" i="1"/>
  <c r="H133" i="1"/>
  <c r="C134" i="1"/>
  <c r="B133" i="1"/>
  <c r="AD133" i="1" s="1"/>
  <c r="Z132" i="1"/>
  <c r="Y132" i="1"/>
  <c r="X132" i="1"/>
  <c r="U132" i="1"/>
  <c r="T132" i="1"/>
  <c r="N132" i="1"/>
  <c r="M132" i="1"/>
  <c r="L132" i="1"/>
  <c r="I132" i="1"/>
  <c r="H132" i="1"/>
  <c r="E132" i="1"/>
  <c r="D132" i="1"/>
  <c r="Z131" i="1"/>
  <c r="AB131" i="1" s="1"/>
  <c r="Y131" i="1"/>
  <c r="X131" i="1"/>
  <c r="U131" i="1"/>
  <c r="T131" i="1"/>
  <c r="N131" i="1"/>
  <c r="M131" i="1"/>
  <c r="L131" i="1"/>
  <c r="I131" i="1"/>
  <c r="H131" i="1"/>
  <c r="E131" i="1"/>
  <c r="D131" i="1"/>
  <c r="AE130" i="1"/>
  <c r="AG130" i="1" s="1"/>
  <c r="AD130" i="1"/>
  <c r="AC130" i="1"/>
  <c r="AB130" i="1"/>
  <c r="Y130" i="1"/>
  <c r="X130" i="1"/>
  <c r="U130" i="1"/>
  <c r="T130" i="1"/>
  <c r="Q130" i="1"/>
  <c r="P130" i="1"/>
  <c r="M130" i="1"/>
  <c r="L130" i="1"/>
  <c r="I130" i="1"/>
  <c r="H130" i="1"/>
  <c r="E130" i="1"/>
  <c r="D130" i="1"/>
  <c r="AC129" i="1"/>
  <c r="AB129" i="1"/>
  <c r="Y129" i="1"/>
  <c r="X129" i="1"/>
  <c r="U129" i="1"/>
  <c r="T129" i="1"/>
  <c r="Q129" i="1"/>
  <c r="M129" i="1"/>
  <c r="L129" i="1"/>
  <c r="I129" i="1"/>
  <c r="H129" i="1"/>
  <c r="C129" i="1"/>
  <c r="AE129" i="1" s="1"/>
  <c r="B129" i="1"/>
  <c r="AD129" i="1" s="1"/>
  <c r="AA128" i="1"/>
  <c r="AB128" i="1" s="1"/>
  <c r="Z128" i="1"/>
  <c r="Y128" i="1"/>
  <c r="X128" i="1"/>
  <c r="U128" i="1"/>
  <c r="T128" i="1"/>
  <c r="N128" i="1"/>
  <c r="M128" i="1"/>
  <c r="L128" i="1"/>
  <c r="H128" i="1"/>
  <c r="C128" i="1"/>
  <c r="B128" i="1"/>
  <c r="AA127" i="1"/>
  <c r="Z127" i="1"/>
  <c r="Y127" i="1"/>
  <c r="X127" i="1"/>
  <c r="U127" i="1"/>
  <c r="T127" i="1"/>
  <c r="O127" i="1"/>
  <c r="N127" i="1"/>
  <c r="M127" i="1"/>
  <c r="L127" i="1"/>
  <c r="B127" i="1"/>
  <c r="AC126" i="1"/>
  <c r="AB126" i="1"/>
  <c r="Y126" i="1"/>
  <c r="X126" i="1"/>
  <c r="U126" i="1"/>
  <c r="T126" i="1"/>
  <c r="Q126" i="1"/>
  <c r="P126" i="1"/>
  <c r="M126" i="1"/>
  <c r="L126" i="1"/>
  <c r="I126" i="1"/>
  <c r="F126" i="1"/>
  <c r="H126" i="1" s="1"/>
  <c r="AE126" i="1"/>
  <c r="AE125" i="1"/>
  <c r="AG125" i="1" s="1"/>
  <c r="AC125" i="1"/>
  <c r="AB125" i="1"/>
  <c r="Y125" i="1"/>
  <c r="V125" i="1"/>
  <c r="AD125" i="1" s="1"/>
  <c r="U125" i="1"/>
  <c r="T125" i="1"/>
  <c r="Q125" i="1"/>
  <c r="P125" i="1"/>
  <c r="M125" i="1"/>
  <c r="L125" i="1"/>
  <c r="I125" i="1"/>
  <c r="H125" i="1"/>
  <c r="E125" i="1"/>
  <c r="D125" i="1"/>
  <c r="AA124" i="1"/>
  <c r="AC124" i="1" s="1"/>
  <c r="Y124" i="1"/>
  <c r="X124" i="1"/>
  <c r="U124" i="1"/>
  <c r="T124" i="1"/>
  <c r="N124" i="1"/>
  <c r="M124" i="1"/>
  <c r="L124" i="1"/>
  <c r="I124" i="1"/>
  <c r="H124" i="1"/>
  <c r="B124" i="1"/>
  <c r="AC123" i="1"/>
  <c r="AB123" i="1"/>
  <c r="Y123" i="1"/>
  <c r="X123" i="1"/>
  <c r="U123" i="1"/>
  <c r="T123" i="1"/>
  <c r="Q123" i="1"/>
  <c r="P123" i="1"/>
  <c r="M123" i="1"/>
  <c r="L123" i="1"/>
  <c r="I123" i="1"/>
  <c r="H123" i="1"/>
  <c r="AE123" i="1"/>
  <c r="AD123" i="1"/>
  <c r="W122" i="1"/>
  <c r="Y122" i="1" s="1"/>
  <c r="V122" i="1"/>
  <c r="S122" i="1"/>
  <c r="U122" i="1" s="1"/>
  <c r="R122" i="1"/>
  <c r="K122" i="1"/>
  <c r="M122" i="1" s="1"/>
  <c r="J122" i="1"/>
  <c r="G122" i="1"/>
  <c r="I122" i="1" s="1"/>
  <c r="Z121" i="1"/>
  <c r="Y121" i="1"/>
  <c r="X121" i="1"/>
  <c r="U121" i="1"/>
  <c r="T121" i="1"/>
  <c r="N121" i="1"/>
  <c r="M121" i="1"/>
  <c r="L121" i="1"/>
  <c r="I121" i="1"/>
  <c r="H121" i="1"/>
  <c r="B121" i="1"/>
  <c r="AC120" i="1"/>
  <c r="Z120" i="1"/>
  <c r="Y120" i="1"/>
  <c r="X120" i="1"/>
  <c r="U120" i="1"/>
  <c r="T120" i="1"/>
  <c r="Q120" i="1"/>
  <c r="P120" i="1"/>
  <c r="M120" i="1"/>
  <c r="L120" i="1"/>
  <c r="I120" i="1"/>
  <c r="H120" i="1"/>
  <c r="C120" i="1"/>
  <c r="E120" i="1" s="1"/>
  <c r="AA119" i="1"/>
  <c r="Z119" i="1"/>
  <c r="Y119" i="1"/>
  <c r="X119" i="1"/>
  <c r="U119" i="1"/>
  <c r="T119" i="1"/>
  <c r="N119" i="1"/>
  <c r="M119" i="1"/>
  <c r="L119" i="1"/>
  <c r="I119" i="1"/>
  <c r="H119" i="1"/>
  <c r="B119" i="1"/>
  <c r="Z118" i="1"/>
  <c r="Y118" i="1"/>
  <c r="X118" i="1"/>
  <c r="U118" i="1"/>
  <c r="T118" i="1"/>
  <c r="N118" i="1"/>
  <c r="M118" i="1"/>
  <c r="L118" i="1"/>
  <c r="I118" i="1"/>
  <c r="F118" i="1"/>
  <c r="H118" i="1" s="1"/>
  <c r="B118" i="1"/>
  <c r="Z117" i="1"/>
  <c r="Y117" i="1"/>
  <c r="X117" i="1"/>
  <c r="U117" i="1"/>
  <c r="T117" i="1"/>
  <c r="N117" i="1"/>
  <c r="M117" i="1"/>
  <c r="L117" i="1"/>
  <c r="I117" i="1"/>
  <c r="H117" i="1"/>
  <c r="C117" i="1"/>
  <c r="B117" i="1"/>
  <c r="AE116" i="1"/>
  <c r="AD116" i="1"/>
  <c r="AC116" i="1"/>
  <c r="AB116" i="1"/>
  <c r="Y116" i="1"/>
  <c r="X116" i="1"/>
  <c r="U116" i="1"/>
  <c r="T116" i="1"/>
  <c r="Q116" i="1"/>
  <c r="P116" i="1"/>
  <c r="M116" i="1"/>
  <c r="L116" i="1"/>
  <c r="I116" i="1"/>
  <c r="H116" i="1"/>
  <c r="E116" i="1"/>
  <c r="D116" i="1"/>
  <c r="Z115" i="1"/>
  <c r="W115" i="1"/>
  <c r="Y115" i="1" s="1"/>
  <c r="V115" i="1"/>
  <c r="S115" i="1"/>
  <c r="U115" i="1" s="1"/>
  <c r="R115" i="1"/>
  <c r="Q115" i="1"/>
  <c r="O115" i="1"/>
  <c r="N115" i="1"/>
  <c r="K115" i="1"/>
  <c r="M115" i="1" s="1"/>
  <c r="J115" i="1"/>
  <c r="G115" i="1"/>
  <c r="I115" i="1" s="1"/>
  <c r="F115" i="1"/>
  <c r="C115" i="1"/>
  <c r="E115" i="1" s="1"/>
  <c r="B115" i="1"/>
  <c r="AD114" i="1"/>
  <c r="AA115" i="1"/>
  <c r="Y114" i="1"/>
  <c r="X114" i="1"/>
  <c r="U114" i="1"/>
  <c r="T114" i="1"/>
  <c r="Q114" i="1"/>
  <c r="P114" i="1"/>
  <c r="M114" i="1"/>
  <c r="L114" i="1"/>
  <c r="I114" i="1"/>
  <c r="H114" i="1"/>
  <c r="E114" i="1"/>
  <c r="D114" i="1"/>
  <c r="AE113" i="1"/>
  <c r="AG113" i="1" s="1"/>
  <c r="AD113" i="1"/>
  <c r="AC113" i="1"/>
  <c r="AB113" i="1"/>
  <c r="Y113" i="1"/>
  <c r="X113" i="1"/>
  <c r="U113" i="1"/>
  <c r="T113" i="1"/>
  <c r="Q113" i="1"/>
  <c r="P113" i="1"/>
  <c r="M113" i="1"/>
  <c r="L113" i="1"/>
  <c r="I113" i="1"/>
  <c r="H113" i="1"/>
  <c r="E113" i="1"/>
  <c r="D113" i="1"/>
  <c r="Z112" i="1"/>
  <c r="Y112" i="1"/>
  <c r="X112" i="1"/>
  <c r="U112" i="1"/>
  <c r="T112" i="1"/>
  <c r="N112" i="1"/>
  <c r="M112" i="1"/>
  <c r="L112" i="1"/>
  <c r="I112" i="1"/>
  <c r="H112" i="1"/>
  <c r="B112" i="1"/>
  <c r="Z111" i="1"/>
  <c r="Y111" i="1"/>
  <c r="X111" i="1"/>
  <c r="U111" i="1"/>
  <c r="T111" i="1"/>
  <c r="N111" i="1"/>
  <c r="M111" i="1"/>
  <c r="L111" i="1"/>
  <c r="F111" i="1"/>
  <c r="B111" i="1"/>
  <c r="AC110" i="1"/>
  <c r="AB110" i="1"/>
  <c r="Y110" i="1"/>
  <c r="X110" i="1"/>
  <c r="U110" i="1"/>
  <c r="T110" i="1"/>
  <c r="Q110" i="1"/>
  <c r="N110" i="1"/>
  <c r="P110" i="1" s="1"/>
  <c r="M110" i="1"/>
  <c r="L110" i="1"/>
  <c r="I110" i="1"/>
  <c r="H110" i="1"/>
  <c r="C110" i="1"/>
  <c r="B110" i="1"/>
  <c r="AD110" i="1" s="1"/>
  <c r="AA109" i="1"/>
  <c r="Z109" i="1"/>
  <c r="Y109" i="1"/>
  <c r="X109" i="1"/>
  <c r="U109" i="1"/>
  <c r="T109" i="1"/>
  <c r="O109" i="1"/>
  <c r="N109" i="1"/>
  <c r="M109" i="1"/>
  <c r="L109" i="1"/>
  <c r="G109" i="1"/>
  <c r="I109" i="1" s="1"/>
  <c r="C109" i="1"/>
  <c r="B109" i="1"/>
  <c r="AC108" i="1"/>
  <c r="AB108" i="1"/>
  <c r="Y108" i="1"/>
  <c r="X108" i="1"/>
  <c r="U108" i="1"/>
  <c r="T108" i="1"/>
  <c r="Q108" i="1"/>
  <c r="P108" i="1"/>
  <c r="M108" i="1"/>
  <c r="L108" i="1"/>
  <c r="I108" i="1"/>
  <c r="H108" i="1"/>
  <c r="AD108" i="1"/>
  <c r="AA107" i="1"/>
  <c r="Z107" i="1"/>
  <c r="Y107" i="1"/>
  <c r="X107" i="1"/>
  <c r="U107" i="1"/>
  <c r="T107" i="1"/>
  <c r="Q107" i="1"/>
  <c r="M107" i="1"/>
  <c r="L107" i="1"/>
  <c r="I107" i="1"/>
  <c r="H107" i="1"/>
  <c r="B107" i="1"/>
  <c r="K106" i="1"/>
  <c r="M106" i="1" s="1"/>
  <c r="J106" i="1"/>
  <c r="G106" i="1"/>
  <c r="I106" i="1" s="1"/>
  <c r="F106" i="1"/>
  <c r="AD105" i="1"/>
  <c r="AC105" i="1"/>
  <c r="AB105" i="1"/>
  <c r="Y105" i="1"/>
  <c r="X105" i="1"/>
  <c r="S105" i="1"/>
  <c r="AE105" i="1" s="1"/>
  <c r="Q105" i="1"/>
  <c r="P105" i="1"/>
  <c r="M105" i="1"/>
  <c r="L105" i="1"/>
  <c r="I105" i="1"/>
  <c r="H105" i="1"/>
  <c r="E105" i="1"/>
  <c r="D105" i="1"/>
  <c r="AC104" i="1"/>
  <c r="AB104" i="1"/>
  <c r="V104" i="1"/>
  <c r="V106" i="1" s="1"/>
  <c r="U104" i="1"/>
  <c r="T104" i="1"/>
  <c r="Q104" i="1"/>
  <c r="P104" i="1"/>
  <c r="M104" i="1"/>
  <c r="L104" i="1"/>
  <c r="I104" i="1"/>
  <c r="H104" i="1"/>
  <c r="E104" i="1"/>
  <c r="B104" i="1"/>
  <c r="AD103" i="1"/>
  <c r="AC103" i="1"/>
  <c r="AB103" i="1"/>
  <c r="Y103" i="1"/>
  <c r="X103" i="1"/>
  <c r="U103" i="1"/>
  <c r="T103" i="1"/>
  <c r="O103" i="1"/>
  <c r="AE103" i="1" s="1"/>
  <c r="M103" i="1"/>
  <c r="L103" i="1"/>
  <c r="I103" i="1"/>
  <c r="H103" i="1"/>
  <c r="E103" i="1"/>
  <c r="D103" i="1"/>
  <c r="AA102" i="1"/>
  <c r="Z102" i="1"/>
  <c r="Y102" i="1"/>
  <c r="X102" i="1"/>
  <c r="R102" i="1"/>
  <c r="O102" i="1"/>
  <c r="N102" i="1"/>
  <c r="N106" i="1" s="1"/>
  <c r="M102" i="1"/>
  <c r="L102" i="1"/>
  <c r="I102" i="1"/>
  <c r="H102" i="1"/>
  <c r="E102" i="1"/>
  <c r="B102" i="1"/>
  <c r="D102" i="1" s="1"/>
  <c r="AA106" i="1"/>
  <c r="Z101" i="1"/>
  <c r="Y101" i="1"/>
  <c r="X101" i="1"/>
  <c r="U101" i="1"/>
  <c r="R101" i="1"/>
  <c r="T101" i="1" s="1"/>
  <c r="O101" i="1"/>
  <c r="M101" i="1"/>
  <c r="L101" i="1"/>
  <c r="I101" i="1"/>
  <c r="H101" i="1"/>
  <c r="B101" i="1"/>
  <c r="AC100" i="1"/>
  <c r="AB100" i="1"/>
  <c r="Y100" i="1"/>
  <c r="X100" i="1"/>
  <c r="S100" i="1"/>
  <c r="R100" i="1"/>
  <c r="Q100" i="1"/>
  <c r="M100" i="1"/>
  <c r="L100" i="1"/>
  <c r="I100" i="1"/>
  <c r="H100" i="1"/>
  <c r="B100" i="1"/>
  <c r="AE99" i="1"/>
  <c r="AG99" i="1" s="1"/>
  <c r="AD99" i="1"/>
  <c r="AC99" i="1"/>
  <c r="AB99" i="1"/>
  <c r="Y99" i="1"/>
  <c r="X99" i="1"/>
  <c r="U99" i="1"/>
  <c r="T99" i="1"/>
  <c r="Q99" i="1"/>
  <c r="P99" i="1"/>
  <c r="M99" i="1"/>
  <c r="L99" i="1"/>
  <c r="I99" i="1"/>
  <c r="H99" i="1"/>
  <c r="E99" i="1"/>
  <c r="D99" i="1"/>
  <c r="W98" i="1"/>
  <c r="V98" i="1"/>
  <c r="S98" i="1"/>
  <c r="U98" i="1" s="1"/>
  <c r="K98" i="1"/>
  <c r="M98" i="1" s="1"/>
  <c r="J98" i="1"/>
  <c r="G98" i="1"/>
  <c r="I98" i="1" s="1"/>
  <c r="AC97" i="1"/>
  <c r="Z97" i="1"/>
  <c r="AB97" i="1" s="1"/>
  <c r="Y97" i="1"/>
  <c r="X97" i="1"/>
  <c r="U97" i="1"/>
  <c r="R97" i="1"/>
  <c r="R98" i="1" s="1"/>
  <c r="Q97" i="1"/>
  <c r="N97" i="1"/>
  <c r="M97" i="1"/>
  <c r="L97" i="1"/>
  <c r="I97" i="1"/>
  <c r="F97" i="1"/>
  <c r="H97" i="1" s="1"/>
  <c r="C97" i="1"/>
  <c r="B97" i="1"/>
  <c r="AA96" i="1"/>
  <c r="AC96" i="1" s="1"/>
  <c r="Z96" i="1"/>
  <c r="Y96" i="1"/>
  <c r="X96" i="1"/>
  <c r="U96" i="1"/>
  <c r="T96" i="1"/>
  <c r="O96" i="1"/>
  <c r="O98" i="1" s="1"/>
  <c r="N96" i="1"/>
  <c r="M96" i="1"/>
  <c r="L96" i="1"/>
  <c r="I96" i="1"/>
  <c r="H96" i="1"/>
  <c r="D96" i="1"/>
  <c r="C96" i="1"/>
  <c r="B96" i="1"/>
  <c r="AC95" i="1"/>
  <c r="AB95" i="1"/>
  <c r="Y95" i="1"/>
  <c r="X95" i="1"/>
  <c r="U95" i="1"/>
  <c r="T95" i="1"/>
  <c r="Q95" i="1"/>
  <c r="P95" i="1"/>
  <c r="M95" i="1"/>
  <c r="L95" i="1"/>
  <c r="I95" i="1"/>
  <c r="H95" i="1"/>
  <c r="C95" i="1"/>
  <c r="B95" i="1"/>
  <c r="AE94" i="1"/>
  <c r="AG94" i="1" s="1"/>
  <c r="AD94" i="1"/>
  <c r="AC94" i="1"/>
  <c r="AB94" i="1"/>
  <c r="Y94" i="1"/>
  <c r="X94" i="1"/>
  <c r="U94" i="1"/>
  <c r="T94" i="1"/>
  <c r="Q94" i="1"/>
  <c r="P94" i="1"/>
  <c r="M94" i="1"/>
  <c r="L94" i="1"/>
  <c r="I94" i="1"/>
  <c r="H94" i="1"/>
  <c r="E94" i="1"/>
  <c r="D94" i="1"/>
  <c r="AA93" i="1"/>
  <c r="Z93" i="1"/>
  <c r="Y93" i="1"/>
  <c r="X93" i="1"/>
  <c r="U93" i="1"/>
  <c r="T93" i="1"/>
  <c r="O93" i="1"/>
  <c r="N93" i="1"/>
  <c r="M93" i="1"/>
  <c r="L93" i="1"/>
  <c r="G93" i="1"/>
  <c r="F93" i="1"/>
  <c r="C93" i="1"/>
  <c r="B93" i="1"/>
  <c r="W92" i="1"/>
  <c r="Y92" i="1" s="1"/>
  <c r="V92" i="1"/>
  <c r="K92" i="1"/>
  <c r="M92" i="1" s="1"/>
  <c r="J92" i="1"/>
  <c r="G92" i="1"/>
  <c r="I92" i="1" s="1"/>
  <c r="F92" i="1"/>
  <c r="H92" i="1" s="1"/>
  <c r="Z91" i="1"/>
  <c r="Y91" i="1"/>
  <c r="X91" i="1"/>
  <c r="U91" i="1"/>
  <c r="T91" i="1"/>
  <c r="N91" i="1"/>
  <c r="M91" i="1"/>
  <c r="L91" i="1"/>
  <c r="I91" i="1"/>
  <c r="H91" i="1"/>
  <c r="B91" i="1"/>
  <c r="Z90" i="1"/>
  <c r="Y90" i="1"/>
  <c r="X90" i="1"/>
  <c r="R90" i="1"/>
  <c r="R92" i="1" s="1"/>
  <c r="N90" i="1"/>
  <c r="M90" i="1"/>
  <c r="L90" i="1"/>
  <c r="I90" i="1"/>
  <c r="H90" i="1"/>
  <c r="B90" i="1"/>
  <c r="AA89" i="1"/>
  <c r="AB89" i="1" s="1"/>
  <c r="Y89" i="1"/>
  <c r="X89" i="1"/>
  <c r="U89" i="1"/>
  <c r="T89" i="1"/>
  <c r="O89" i="1"/>
  <c r="Q89" i="1" s="1"/>
  <c r="M89" i="1"/>
  <c r="L89" i="1"/>
  <c r="I89" i="1"/>
  <c r="H89" i="1"/>
  <c r="C89" i="1"/>
  <c r="AD89" i="1"/>
  <c r="AC88" i="1"/>
  <c r="AB88" i="1"/>
  <c r="Y88" i="1"/>
  <c r="X88" i="1"/>
  <c r="U88" i="1"/>
  <c r="T88" i="1"/>
  <c r="Q88" i="1"/>
  <c r="P88" i="1"/>
  <c r="M88" i="1"/>
  <c r="L88" i="1"/>
  <c r="I88" i="1"/>
  <c r="H88" i="1"/>
  <c r="AC87" i="1"/>
  <c r="AB87" i="1"/>
  <c r="Y87" i="1"/>
  <c r="X87" i="1"/>
  <c r="U87" i="1"/>
  <c r="T87" i="1"/>
  <c r="Q87" i="1"/>
  <c r="P87" i="1"/>
  <c r="M87" i="1"/>
  <c r="L87" i="1"/>
  <c r="I87" i="1"/>
  <c r="H87" i="1"/>
  <c r="AE87" i="1"/>
  <c r="B87" i="1"/>
  <c r="AD87" i="1" s="1"/>
  <c r="Y86" i="1"/>
  <c r="X86" i="1"/>
  <c r="U86" i="1"/>
  <c r="T86" i="1"/>
  <c r="M86" i="1"/>
  <c r="L86" i="1"/>
  <c r="I86" i="1"/>
  <c r="H86" i="1"/>
  <c r="E86" i="1"/>
  <c r="D86" i="1"/>
  <c r="AE85" i="1"/>
  <c r="AG85" i="1" s="1"/>
  <c r="AD85" i="1"/>
  <c r="AC85" i="1"/>
  <c r="AB85" i="1"/>
  <c r="Y85" i="1"/>
  <c r="X85" i="1"/>
  <c r="U85" i="1"/>
  <c r="T85" i="1"/>
  <c r="Q85" i="1"/>
  <c r="P85" i="1"/>
  <c r="M85" i="1"/>
  <c r="L85" i="1"/>
  <c r="I85" i="1"/>
  <c r="H85" i="1"/>
  <c r="E85" i="1"/>
  <c r="D85" i="1"/>
  <c r="Y84" i="1"/>
  <c r="X84" i="1"/>
  <c r="U84" i="1"/>
  <c r="T84" i="1"/>
  <c r="Q84" i="1"/>
  <c r="M84" i="1"/>
  <c r="L84" i="1"/>
  <c r="I84" i="1"/>
  <c r="H84" i="1"/>
  <c r="E84" i="1"/>
  <c r="D84" i="1"/>
  <c r="Y83" i="1"/>
  <c r="X83" i="1"/>
  <c r="U83" i="1"/>
  <c r="T83" i="1"/>
  <c r="M83" i="1"/>
  <c r="L83" i="1"/>
  <c r="I83" i="1"/>
  <c r="H83" i="1"/>
  <c r="E83" i="1"/>
  <c r="D83" i="1"/>
  <c r="AD82" i="1"/>
  <c r="AC82" i="1"/>
  <c r="AB82" i="1"/>
  <c r="Y82" i="1"/>
  <c r="X82" i="1"/>
  <c r="U82" i="1"/>
  <c r="T82" i="1"/>
  <c r="O82" i="1"/>
  <c r="Q82" i="1" s="1"/>
  <c r="M82" i="1"/>
  <c r="L82" i="1"/>
  <c r="I82" i="1"/>
  <c r="H82" i="1"/>
  <c r="E82" i="1"/>
  <c r="D82" i="1"/>
  <c r="K81" i="1"/>
  <c r="M81" i="1" s="1"/>
  <c r="J81" i="1"/>
  <c r="AC80" i="1"/>
  <c r="AB80" i="1"/>
  <c r="Y80" i="1"/>
  <c r="X80" i="1"/>
  <c r="AE80" i="1"/>
  <c r="AD80" i="1"/>
  <c r="Q80" i="1"/>
  <c r="P80" i="1"/>
  <c r="M80" i="1"/>
  <c r="L80" i="1"/>
  <c r="I80" i="1"/>
  <c r="H80" i="1"/>
  <c r="E80" i="1"/>
  <c r="D80" i="1"/>
  <c r="AC79" i="1"/>
  <c r="AB79" i="1"/>
  <c r="Y79" i="1"/>
  <c r="X79" i="1"/>
  <c r="U79" i="1"/>
  <c r="T79" i="1"/>
  <c r="Q79" i="1"/>
  <c r="P79" i="1"/>
  <c r="M79" i="1"/>
  <c r="L79" i="1"/>
  <c r="I79" i="1"/>
  <c r="H79" i="1"/>
  <c r="AE79" i="1"/>
  <c r="AD79" i="1"/>
  <c r="AC78" i="1"/>
  <c r="AB78" i="1"/>
  <c r="W81" i="1"/>
  <c r="U78" i="1"/>
  <c r="T78" i="1"/>
  <c r="Q78" i="1"/>
  <c r="P78" i="1"/>
  <c r="M78" i="1"/>
  <c r="L78" i="1"/>
  <c r="I78" i="1"/>
  <c r="H78" i="1"/>
  <c r="E78" i="1"/>
  <c r="D78" i="1"/>
  <c r="AA77" i="1"/>
  <c r="Z77" i="1"/>
  <c r="Y77" i="1"/>
  <c r="X77" i="1"/>
  <c r="U77" i="1"/>
  <c r="T77" i="1"/>
  <c r="M77" i="1"/>
  <c r="L77" i="1"/>
  <c r="I77" i="1"/>
  <c r="H77" i="1"/>
  <c r="E77" i="1"/>
  <c r="D77" i="1"/>
  <c r="AC76" i="1"/>
  <c r="AB76" i="1"/>
  <c r="Y76" i="1"/>
  <c r="X76" i="1"/>
  <c r="Q76" i="1"/>
  <c r="P76" i="1"/>
  <c r="M76" i="1"/>
  <c r="L76" i="1"/>
  <c r="I76" i="1"/>
  <c r="H76" i="1"/>
  <c r="E76" i="1"/>
  <c r="D76" i="1"/>
  <c r="AA75" i="1"/>
  <c r="Z75" i="1"/>
  <c r="Y75" i="1"/>
  <c r="X75" i="1"/>
  <c r="U75" i="1"/>
  <c r="T75" i="1"/>
  <c r="O75" i="1"/>
  <c r="N75" i="1"/>
  <c r="M75" i="1"/>
  <c r="L75" i="1"/>
  <c r="G75" i="1"/>
  <c r="G81" i="1" s="1"/>
  <c r="F75" i="1"/>
  <c r="F81" i="1" s="1"/>
  <c r="AE74" i="1"/>
  <c r="AG74" i="1" s="1"/>
  <c r="AD74" i="1"/>
  <c r="AC74" i="1"/>
  <c r="AB74" i="1"/>
  <c r="Y74" i="1"/>
  <c r="X74" i="1"/>
  <c r="U74" i="1"/>
  <c r="T74" i="1"/>
  <c r="Q74" i="1"/>
  <c r="P74" i="1"/>
  <c r="M74" i="1"/>
  <c r="L74" i="1"/>
  <c r="I74" i="1"/>
  <c r="H74" i="1"/>
  <c r="E74" i="1"/>
  <c r="D74" i="1"/>
  <c r="AD73" i="1"/>
  <c r="AC73" i="1"/>
  <c r="AB73" i="1"/>
  <c r="Y73" i="1"/>
  <c r="X73" i="1"/>
  <c r="U73" i="1"/>
  <c r="T73" i="1"/>
  <c r="Q73" i="1"/>
  <c r="P73" i="1"/>
  <c r="M73" i="1"/>
  <c r="L73" i="1"/>
  <c r="I73" i="1"/>
  <c r="H73" i="1"/>
  <c r="D73" i="1"/>
  <c r="Z72" i="1"/>
  <c r="Y72" i="1"/>
  <c r="X72" i="1"/>
  <c r="U72" i="1"/>
  <c r="T72" i="1"/>
  <c r="N72" i="1"/>
  <c r="M72" i="1"/>
  <c r="L72" i="1"/>
  <c r="F72" i="1"/>
  <c r="B72" i="1"/>
  <c r="AC71" i="1"/>
  <c r="Z71" i="1"/>
  <c r="AB71" i="1" s="1"/>
  <c r="Y71" i="1"/>
  <c r="X71" i="1"/>
  <c r="U71" i="1"/>
  <c r="T71" i="1"/>
  <c r="Q71" i="1"/>
  <c r="P71" i="1"/>
  <c r="M71" i="1"/>
  <c r="L71" i="1"/>
  <c r="I71" i="1"/>
  <c r="H71" i="1"/>
  <c r="C71" i="1"/>
  <c r="B71" i="1"/>
  <c r="AA70" i="1"/>
  <c r="Z70" i="1"/>
  <c r="Y70" i="1"/>
  <c r="X70" i="1"/>
  <c r="U70" i="1"/>
  <c r="T70" i="1"/>
  <c r="O70" i="1"/>
  <c r="N70" i="1"/>
  <c r="M70" i="1"/>
  <c r="L70" i="1"/>
  <c r="G70" i="1"/>
  <c r="F70" i="1"/>
  <c r="C70" i="1"/>
  <c r="B70" i="1"/>
  <c r="AC69" i="1"/>
  <c r="AB69" i="1"/>
  <c r="Y69" i="1"/>
  <c r="X69" i="1"/>
  <c r="U69" i="1"/>
  <c r="T69" i="1"/>
  <c r="Q69" i="1"/>
  <c r="P69" i="1"/>
  <c r="M69" i="1"/>
  <c r="L69" i="1"/>
  <c r="I69" i="1"/>
  <c r="H69" i="1"/>
  <c r="AE69" i="1"/>
  <c r="B69" i="1"/>
  <c r="AA68" i="1"/>
  <c r="Z68" i="1"/>
  <c r="Y68" i="1"/>
  <c r="X68" i="1"/>
  <c r="U68" i="1"/>
  <c r="T68" i="1"/>
  <c r="AE68" i="1"/>
  <c r="M68" i="1"/>
  <c r="L68" i="1"/>
  <c r="I68" i="1"/>
  <c r="H68" i="1"/>
  <c r="E68" i="1"/>
  <c r="D68" i="1"/>
  <c r="AA67" i="1"/>
  <c r="AC67" i="1" s="1"/>
  <c r="Z67" i="1"/>
  <c r="W67" i="1"/>
  <c r="V67" i="1"/>
  <c r="S67" i="1"/>
  <c r="R67" i="1"/>
  <c r="O67" i="1"/>
  <c r="Q67" i="1" s="1"/>
  <c r="N67" i="1"/>
  <c r="K67" i="1"/>
  <c r="J67" i="1"/>
  <c r="C67" i="1"/>
  <c r="B67" i="1"/>
  <c r="AC66" i="1"/>
  <c r="AB66" i="1"/>
  <c r="Y66" i="1"/>
  <c r="X66" i="1"/>
  <c r="U66" i="1"/>
  <c r="T66" i="1"/>
  <c r="Q66" i="1"/>
  <c r="P66" i="1"/>
  <c r="M66" i="1"/>
  <c r="L66" i="1"/>
  <c r="AE66" i="1"/>
  <c r="E66" i="1"/>
  <c r="D66" i="1"/>
  <c r="AC65" i="1"/>
  <c r="AB65" i="1"/>
  <c r="Y65" i="1"/>
  <c r="X65" i="1"/>
  <c r="U65" i="1"/>
  <c r="T65" i="1"/>
  <c r="Q65" i="1"/>
  <c r="P65" i="1"/>
  <c r="M65" i="1"/>
  <c r="L65" i="1"/>
  <c r="I65" i="1"/>
  <c r="F65" i="1"/>
  <c r="AD65" i="1" s="1"/>
  <c r="E65" i="1"/>
  <c r="D65" i="1"/>
  <c r="AC64" i="1"/>
  <c r="AB64" i="1"/>
  <c r="Y64" i="1"/>
  <c r="X64" i="1"/>
  <c r="U64" i="1"/>
  <c r="T64" i="1"/>
  <c r="Q64" i="1"/>
  <c r="P64" i="1"/>
  <c r="M64" i="1"/>
  <c r="L64" i="1"/>
  <c r="AE64" i="1"/>
  <c r="F64" i="1"/>
  <c r="I64" i="1" s="1"/>
  <c r="E64" i="1"/>
  <c r="D64" i="1"/>
  <c r="AC63" i="1"/>
  <c r="AB63" i="1"/>
  <c r="Y63" i="1"/>
  <c r="X63" i="1"/>
  <c r="U63" i="1"/>
  <c r="T63" i="1"/>
  <c r="Q63" i="1"/>
  <c r="P63" i="1"/>
  <c r="M63" i="1"/>
  <c r="L63" i="1"/>
  <c r="AE63" i="1"/>
  <c r="AD63" i="1"/>
  <c r="E63" i="1"/>
  <c r="D63" i="1"/>
  <c r="AE62" i="1"/>
  <c r="AG62" i="1" s="1"/>
  <c r="AD62" i="1"/>
  <c r="AC62" i="1"/>
  <c r="AB62" i="1"/>
  <c r="Y62" i="1"/>
  <c r="X62" i="1"/>
  <c r="U62" i="1"/>
  <c r="T62" i="1"/>
  <c r="Q62" i="1"/>
  <c r="P62" i="1"/>
  <c r="M62" i="1"/>
  <c r="L62" i="1"/>
  <c r="I62" i="1"/>
  <c r="H62" i="1"/>
  <c r="E62" i="1"/>
  <c r="D62" i="1"/>
  <c r="S58" i="1"/>
  <c r="S59" i="1" s="1"/>
  <c r="U59" i="1" s="1"/>
  <c r="R58" i="1"/>
  <c r="G58" i="1"/>
  <c r="G59" i="1" s="1"/>
  <c r="I59" i="1" s="1"/>
  <c r="F58" i="1"/>
  <c r="H58" i="1" s="1"/>
  <c r="C58" i="1"/>
  <c r="C59" i="1" s="1"/>
  <c r="AE57" i="1"/>
  <c r="AB57" i="1"/>
  <c r="Y57" i="1"/>
  <c r="X57" i="1"/>
  <c r="U57" i="1"/>
  <c r="T57" i="1"/>
  <c r="Q57" i="1"/>
  <c r="P57" i="1"/>
  <c r="M57" i="1"/>
  <c r="L57" i="1"/>
  <c r="I57" i="1"/>
  <c r="H57" i="1"/>
  <c r="E57" i="1"/>
  <c r="D57" i="1"/>
  <c r="AE56" i="1"/>
  <c r="AD56" i="1"/>
  <c r="Y56" i="1"/>
  <c r="X56" i="1"/>
  <c r="U56" i="1"/>
  <c r="T56" i="1"/>
  <c r="Q56" i="1"/>
  <c r="P56" i="1"/>
  <c r="M56" i="1"/>
  <c r="L56" i="1"/>
  <c r="I56" i="1"/>
  <c r="H56" i="1"/>
  <c r="E56" i="1"/>
  <c r="D56" i="1"/>
  <c r="AE55" i="1"/>
  <c r="Y55" i="1"/>
  <c r="X55" i="1"/>
  <c r="U55" i="1"/>
  <c r="T55" i="1"/>
  <c r="Q55" i="1"/>
  <c r="P55" i="1"/>
  <c r="M55" i="1"/>
  <c r="L55" i="1"/>
  <c r="I55" i="1"/>
  <c r="H55" i="1"/>
  <c r="E55" i="1"/>
  <c r="D55" i="1"/>
  <c r="AE54" i="1"/>
  <c r="Y54" i="1"/>
  <c r="X54" i="1"/>
  <c r="U54" i="1"/>
  <c r="T54" i="1"/>
  <c r="Q54" i="1"/>
  <c r="P54" i="1"/>
  <c r="M54" i="1"/>
  <c r="L54" i="1"/>
  <c r="I54" i="1"/>
  <c r="H54" i="1"/>
  <c r="E54" i="1"/>
  <c r="D54" i="1"/>
  <c r="AE53" i="1"/>
  <c r="AD53" i="1"/>
  <c r="Y53" i="1"/>
  <c r="X53" i="1"/>
  <c r="U53" i="1"/>
  <c r="T53" i="1"/>
  <c r="Q53" i="1"/>
  <c r="P53" i="1"/>
  <c r="M53" i="1"/>
  <c r="L53" i="1"/>
  <c r="I53" i="1"/>
  <c r="H53" i="1"/>
  <c r="E53" i="1"/>
  <c r="D53" i="1"/>
  <c r="AE52" i="1"/>
  <c r="Y52" i="1"/>
  <c r="X52" i="1"/>
  <c r="U52" i="1"/>
  <c r="T52" i="1"/>
  <c r="Q52" i="1"/>
  <c r="P52" i="1"/>
  <c r="M52" i="1"/>
  <c r="L52" i="1"/>
  <c r="I52" i="1"/>
  <c r="H52" i="1"/>
  <c r="E52" i="1"/>
  <c r="D52" i="1"/>
  <c r="AE51" i="1"/>
  <c r="AC51" i="1"/>
  <c r="AB51" i="1"/>
  <c r="Y51" i="1"/>
  <c r="X51" i="1"/>
  <c r="U51" i="1"/>
  <c r="T51" i="1"/>
  <c r="M51" i="1"/>
  <c r="L51" i="1"/>
  <c r="I51" i="1"/>
  <c r="H51" i="1"/>
  <c r="E51" i="1"/>
  <c r="D51" i="1"/>
  <c r="AA50" i="1"/>
  <c r="Z50" i="1"/>
  <c r="W50" i="1"/>
  <c r="V50" i="1"/>
  <c r="V58" i="1" s="1"/>
  <c r="U50" i="1"/>
  <c r="T50" i="1"/>
  <c r="M50" i="1"/>
  <c r="L50" i="1"/>
  <c r="I50" i="1"/>
  <c r="H50" i="1"/>
  <c r="E50" i="1"/>
  <c r="B58" i="1"/>
  <c r="AC49" i="1"/>
  <c r="AB49" i="1"/>
  <c r="Y49" i="1"/>
  <c r="X49" i="1"/>
  <c r="U49" i="1"/>
  <c r="T49" i="1"/>
  <c r="AE49" i="1"/>
  <c r="AD49" i="1"/>
  <c r="M49" i="1"/>
  <c r="L49" i="1"/>
  <c r="I49" i="1"/>
  <c r="H49" i="1"/>
  <c r="E49" i="1"/>
  <c r="D49" i="1"/>
  <c r="AC48" i="1"/>
  <c r="AB48" i="1"/>
  <c r="Y48" i="1"/>
  <c r="X48" i="1"/>
  <c r="U48" i="1"/>
  <c r="T48" i="1"/>
  <c r="AD48" i="1"/>
  <c r="M48" i="1"/>
  <c r="L48" i="1"/>
  <c r="I48" i="1"/>
  <c r="H48" i="1"/>
  <c r="E48" i="1"/>
  <c r="D48" i="1"/>
  <c r="AC47" i="1"/>
  <c r="AB47" i="1"/>
  <c r="Y47" i="1"/>
  <c r="X47" i="1"/>
  <c r="U47" i="1"/>
  <c r="T47" i="1"/>
  <c r="Q47" i="1"/>
  <c r="P47" i="1"/>
  <c r="K58" i="1"/>
  <c r="I47" i="1"/>
  <c r="H47" i="1"/>
  <c r="E47" i="1"/>
  <c r="D47" i="1"/>
  <c r="AE46" i="1"/>
  <c r="AG46" i="1" s="1"/>
  <c r="AD46" i="1"/>
  <c r="AC46" i="1"/>
  <c r="AB46" i="1"/>
  <c r="Y46" i="1"/>
  <c r="X46" i="1"/>
  <c r="U46" i="1"/>
  <c r="T46" i="1"/>
  <c r="Q46" i="1"/>
  <c r="P46" i="1"/>
  <c r="M46" i="1"/>
  <c r="L46" i="1"/>
  <c r="I46" i="1"/>
  <c r="H46" i="1"/>
  <c r="E46" i="1"/>
  <c r="D46" i="1"/>
  <c r="AA42" i="1"/>
  <c r="Z42" i="1"/>
  <c r="AD42" i="1" s="1"/>
  <c r="Y42" i="1"/>
  <c r="X42" i="1"/>
  <c r="U42" i="1"/>
  <c r="T42" i="1"/>
  <c r="O42" i="1"/>
  <c r="P42" i="1" s="1"/>
  <c r="M42" i="1"/>
  <c r="L42" i="1"/>
  <c r="I42" i="1"/>
  <c r="H42" i="1"/>
  <c r="E42" i="1"/>
  <c r="D42" i="1"/>
  <c r="Y41" i="1"/>
  <c r="X41" i="1"/>
  <c r="U41" i="1"/>
  <c r="T41" i="1"/>
  <c r="M41" i="1"/>
  <c r="L41" i="1"/>
  <c r="I41" i="1"/>
  <c r="H41" i="1"/>
  <c r="E41" i="1"/>
  <c r="D41" i="1"/>
  <c r="Z40" i="1"/>
  <c r="Y40" i="1"/>
  <c r="X40" i="1"/>
  <c r="U40" i="1"/>
  <c r="T40" i="1"/>
  <c r="N40" i="1"/>
  <c r="M40" i="1"/>
  <c r="L40" i="1"/>
  <c r="I40" i="1"/>
  <c r="H40" i="1"/>
  <c r="E40" i="1"/>
  <c r="D40" i="1"/>
  <c r="Z39" i="1"/>
  <c r="Y39" i="1"/>
  <c r="X39" i="1"/>
  <c r="U39" i="1"/>
  <c r="T39" i="1"/>
  <c r="N39" i="1"/>
  <c r="M39" i="1"/>
  <c r="L39" i="1"/>
  <c r="I39" i="1"/>
  <c r="H39" i="1"/>
  <c r="E39" i="1"/>
  <c r="D39" i="1"/>
  <c r="AE38" i="1"/>
  <c r="Y38" i="1"/>
  <c r="X38" i="1"/>
  <c r="U38" i="1"/>
  <c r="T38" i="1"/>
  <c r="Q38" i="1"/>
  <c r="P38" i="1"/>
  <c r="M38" i="1"/>
  <c r="L38" i="1"/>
  <c r="I38" i="1"/>
  <c r="H38" i="1"/>
  <c r="E38" i="1"/>
  <c r="D38" i="1"/>
  <c r="AE37" i="1"/>
  <c r="AD37" i="1"/>
  <c r="Y37" i="1"/>
  <c r="X37" i="1"/>
  <c r="U37" i="1"/>
  <c r="T37" i="1"/>
  <c r="Q37" i="1"/>
  <c r="P37" i="1"/>
  <c r="M37" i="1"/>
  <c r="L37" i="1"/>
  <c r="I37" i="1"/>
  <c r="H37" i="1"/>
  <c r="E37" i="1"/>
  <c r="D37" i="1"/>
  <c r="AC36" i="1"/>
  <c r="AB36" i="1"/>
  <c r="Y36" i="1"/>
  <c r="X36" i="1"/>
  <c r="U36" i="1"/>
  <c r="T36" i="1"/>
  <c r="AE36" i="1"/>
  <c r="AD36" i="1"/>
  <c r="M36" i="1"/>
  <c r="L36" i="1"/>
  <c r="I36" i="1"/>
  <c r="H36" i="1"/>
  <c r="E36" i="1"/>
  <c r="D36" i="1"/>
  <c r="AC35" i="1"/>
  <c r="AB35" i="1"/>
  <c r="Y35" i="1"/>
  <c r="X35" i="1"/>
  <c r="U35" i="1"/>
  <c r="T35" i="1"/>
  <c r="AE35" i="1"/>
  <c r="M35" i="1"/>
  <c r="L35" i="1"/>
  <c r="I35" i="1"/>
  <c r="H35" i="1"/>
  <c r="E35" i="1"/>
  <c r="D35" i="1"/>
  <c r="AA34" i="1"/>
  <c r="AC34" i="1" s="1"/>
  <c r="Z34" i="1"/>
  <c r="W34" i="1"/>
  <c r="W43" i="1" s="1"/>
  <c r="Y43" i="1" s="1"/>
  <c r="V34" i="1"/>
  <c r="V43" i="1" s="1"/>
  <c r="S34" i="1"/>
  <c r="S43" i="1" s="1"/>
  <c r="U43" i="1" s="1"/>
  <c r="R34" i="1"/>
  <c r="R43" i="1" s="1"/>
  <c r="O34" i="1"/>
  <c r="Q34" i="1" s="1"/>
  <c r="N34" i="1"/>
  <c r="G34" i="1"/>
  <c r="G43" i="1" s="1"/>
  <c r="F34" i="1"/>
  <c r="F43" i="1" s="1"/>
  <c r="C34" i="1"/>
  <c r="E34" i="1" s="1"/>
  <c r="AC33" i="1"/>
  <c r="AB33" i="1"/>
  <c r="Y33" i="1"/>
  <c r="X33" i="1"/>
  <c r="U33" i="1"/>
  <c r="T33" i="1"/>
  <c r="Q33" i="1"/>
  <c r="P33" i="1"/>
  <c r="K33" i="1"/>
  <c r="J33" i="1"/>
  <c r="I33" i="1"/>
  <c r="H33" i="1"/>
  <c r="E33" i="1"/>
  <c r="B34" i="1"/>
  <c r="AC32" i="1"/>
  <c r="AB32" i="1"/>
  <c r="Y32" i="1"/>
  <c r="X32" i="1"/>
  <c r="U32" i="1"/>
  <c r="T32" i="1"/>
  <c r="Q32" i="1"/>
  <c r="P32" i="1"/>
  <c r="I32" i="1"/>
  <c r="H32" i="1"/>
  <c r="E32" i="1"/>
  <c r="D32" i="1"/>
  <c r="AE31" i="1"/>
  <c r="AG31" i="1" s="1"/>
  <c r="AD31" i="1"/>
  <c r="AC31" i="1"/>
  <c r="AB31" i="1"/>
  <c r="Y31" i="1"/>
  <c r="X31" i="1"/>
  <c r="U31" i="1"/>
  <c r="T31" i="1"/>
  <c r="Q31" i="1"/>
  <c r="P31" i="1"/>
  <c r="M31" i="1"/>
  <c r="L31" i="1"/>
  <c r="I31" i="1"/>
  <c r="H31" i="1"/>
  <c r="E31" i="1"/>
  <c r="D31" i="1"/>
  <c r="W30" i="1"/>
  <c r="Y30" i="1" s="1"/>
  <c r="V30" i="1"/>
  <c r="O30" i="1"/>
  <c r="Q30" i="1" s="1"/>
  <c r="N30" i="1"/>
  <c r="K30" i="1"/>
  <c r="M30" i="1" s="1"/>
  <c r="J30" i="1"/>
  <c r="G30" i="1"/>
  <c r="I30" i="1" s="1"/>
  <c r="F30" i="1"/>
  <c r="AD29" i="1"/>
  <c r="AA29" i="1"/>
  <c r="AB29" i="1" s="1"/>
  <c r="Y29" i="1"/>
  <c r="X29" i="1"/>
  <c r="U29" i="1"/>
  <c r="T29" i="1"/>
  <c r="Q29" i="1"/>
  <c r="P29" i="1"/>
  <c r="M29" i="1"/>
  <c r="L29" i="1"/>
  <c r="I29" i="1"/>
  <c r="H29" i="1"/>
  <c r="E29" i="1"/>
  <c r="D29" i="1"/>
  <c r="AC28" i="1"/>
  <c r="Z28" i="1"/>
  <c r="AB28" i="1" s="1"/>
  <c r="Y28" i="1"/>
  <c r="X28" i="1"/>
  <c r="U28" i="1"/>
  <c r="R28" i="1"/>
  <c r="T28" i="1" s="1"/>
  <c r="Q28" i="1"/>
  <c r="P28" i="1"/>
  <c r="M28" i="1"/>
  <c r="L28" i="1"/>
  <c r="I28" i="1"/>
  <c r="H28" i="1"/>
  <c r="C28" i="1"/>
  <c r="AE28" i="1" s="1"/>
  <c r="B28" i="1"/>
  <c r="AC27" i="1"/>
  <c r="AB27" i="1"/>
  <c r="Y27" i="1"/>
  <c r="X27" i="1"/>
  <c r="U27" i="1"/>
  <c r="T27" i="1"/>
  <c r="Q27" i="1"/>
  <c r="P27" i="1"/>
  <c r="M27" i="1"/>
  <c r="L27" i="1"/>
  <c r="I27" i="1"/>
  <c r="H27" i="1"/>
  <c r="AE27" i="1"/>
  <c r="B27" i="1"/>
  <c r="D27" i="1" s="1"/>
  <c r="AC26" i="1"/>
  <c r="AB26" i="1"/>
  <c r="Y26" i="1"/>
  <c r="X26" i="1"/>
  <c r="U26" i="1"/>
  <c r="T26" i="1"/>
  <c r="Q26" i="1"/>
  <c r="P26" i="1"/>
  <c r="M26" i="1"/>
  <c r="L26" i="1"/>
  <c r="I26" i="1"/>
  <c r="H26" i="1"/>
  <c r="AE26" i="1"/>
  <c r="B26" i="1"/>
  <c r="D26" i="1" s="1"/>
  <c r="AE24" i="1"/>
  <c r="AC24" i="1"/>
  <c r="AB24" i="1"/>
  <c r="Y24" i="1"/>
  <c r="X24" i="1"/>
  <c r="U24" i="1"/>
  <c r="T24" i="1"/>
  <c r="Q24" i="1"/>
  <c r="P24" i="1"/>
  <c r="M24" i="1"/>
  <c r="L24" i="1"/>
  <c r="I24" i="1"/>
  <c r="H24" i="1"/>
  <c r="E24" i="1"/>
  <c r="AD24" i="1"/>
  <c r="AD23" i="1"/>
  <c r="AC23" i="1"/>
  <c r="AB23" i="1"/>
  <c r="Y23" i="1"/>
  <c r="X23" i="1"/>
  <c r="U23" i="1"/>
  <c r="T23" i="1"/>
  <c r="Q23" i="1"/>
  <c r="P23" i="1"/>
  <c r="M23" i="1"/>
  <c r="L23" i="1"/>
  <c r="I23" i="1"/>
  <c r="H23" i="1"/>
  <c r="AE23" i="1"/>
  <c r="AC22" i="1"/>
  <c r="Z22" i="1"/>
  <c r="AB22" i="1" s="1"/>
  <c r="Y22" i="1"/>
  <c r="X22" i="1"/>
  <c r="AE22" i="1"/>
  <c r="Q22" i="1"/>
  <c r="P22" i="1"/>
  <c r="M22" i="1"/>
  <c r="L22" i="1"/>
  <c r="I22" i="1"/>
  <c r="H22" i="1"/>
  <c r="E22" i="1"/>
  <c r="D22" i="1"/>
  <c r="AE21" i="1"/>
  <c r="AC21" i="1"/>
  <c r="AB21" i="1"/>
  <c r="Y21" i="1"/>
  <c r="X21" i="1"/>
  <c r="U21" i="1"/>
  <c r="T21" i="1"/>
  <c r="Q21" i="1"/>
  <c r="P21" i="1"/>
  <c r="M21" i="1"/>
  <c r="L21" i="1"/>
  <c r="I21" i="1"/>
  <c r="H21" i="1"/>
  <c r="E21" i="1"/>
  <c r="AD21" i="1"/>
  <c r="AD20" i="1"/>
  <c r="AC20" i="1"/>
  <c r="AB20" i="1"/>
  <c r="Y20" i="1"/>
  <c r="X20" i="1"/>
  <c r="U20" i="1"/>
  <c r="T20" i="1"/>
  <c r="Q20" i="1"/>
  <c r="P20" i="1"/>
  <c r="M20" i="1"/>
  <c r="L20" i="1"/>
  <c r="I20" i="1"/>
  <c r="H20" i="1"/>
  <c r="AE20" i="1"/>
  <c r="D20" i="1"/>
  <c r="AE19" i="1"/>
  <c r="AG19" i="1" s="1"/>
  <c r="AD19" i="1"/>
  <c r="AC19" i="1"/>
  <c r="AB19" i="1"/>
  <c r="Y19" i="1"/>
  <c r="X19" i="1"/>
  <c r="U19" i="1"/>
  <c r="T19" i="1"/>
  <c r="Q19" i="1"/>
  <c r="P19" i="1"/>
  <c r="M19" i="1"/>
  <c r="L19" i="1"/>
  <c r="I19" i="1"/>
  <c r="H19" i="1"/>
  <c r="E19" i="1"/>
  <c r="D19" i="1"/>
  <c r="AA18" i="1"/>
  <c r="AC18" i="1" s="1"/>
  <c r="Z18" i="1"/>
  <c r="W18" i="1"/>
  <c r="Y18" i="1" s="1"/>
  <c r="V18" i="1"/>
  <c r="S18" i="1"/>
  <c r="R18" i="1"/>
  <c r="Q18" i="1"/>
  <c r="O18" i="1"/>
  <c r="N18" i="1"/>
  <c r="K18" i="1"/>
  <c r="M18" i="1" s="1"/>
  <c r="J18" i="1"/>
  <c r="G18" i="1"/>
  <c r="I18" i="1" s="1"/>
  <c r="F18" i="1"/>
  <c r="AD17" i="1"/>
  <c r="AC17" i="1"/>
  <c r="AB17" i="1"/>
  <c r="Y17" i="1"/>
  <c r="X17" i="1"/>
  <c r="U17" i="1"/>
  <c r="T17" i="1"/>
  <c r="Q17" i="1"/>
  <c r="P17" i="1"/>
  <c r="M17" i="1"/>
  <c r="L17" i="1"/>
  <c r="I17" i="1"/>
  <c r="H17" i="1"/>
  <c r="E17" i="1"/>
  <c r="D17" i="1"/>
  <c r="AE17" i="1"/>
  <c r="AE16" i="1"/>
  <c r="AD16" i="1"/>
  <c r="AC16" i="1"/>
  <c r="AB16" i="1"/>
  <c r="Y16" i="1"/>
  <c r="X16" i="1"/>
  <c r="U16" i="1"/>
  <c r="T16" i="1"/>
  <c r="Q16" i="1"/>
  <c r="P16" i="1"/>
  <c r="M16" i="1"/>
  <c r="L16" i="1"/>
  <c r="I16" i="1"/>
  <c r="H16" i="1"/>
  <c r="D16" i="1"/>
  <c r="E16" i="1"/>
  <c r="AC15" i="1"/>
  <c r="AB15" i="1"/>
  <c r="Y15" i="1"/>
  <c r="X15" i="1"/>
  <c r="U15" i="1"/>
  <c r="T15" i="1"/>
  <c r="Q15" i="1"/>
  <c r="P15" i="1"/>
  <c r="M15" i="1"/>
  <c r="L15" i="1"/>
  <c r="I15" i="1"/>
  <c r="H15" i="1"/>
  <c r="E15" i="1"/>
  <c r="AE15" i="1"/>
  <c r="D15" i="1"/>
  <c r="AC14" i="1"/>
  <c r="AB14" i="1"/>
  <c r="Y14" i="1"/>
  <c r="X14" i="1"/>
  <c r="U14" i="1"/>
  <c r="T14" i="1"/>
  <c r="Q14" i="1"/>
  <c r="P14" i="1"/>
  <c r="M14" i="1"/>
  <c r="L14" i="1"/>
  <c r="I14" i="1"/>
  <c r="H14" i="1"/>
  <c r="E14" i="1"/>
  <c r="D14" i="1"/>
  <c r="C18" i="1"/>
  <c r="AD14" i="1"/>
  <c r="AE13" i="1"/>
  <c r="AD13" i="1"/>
  <c r="AF13" i="1" s="1"/>
  <c r="AC13" i="1"/>
  <c r="AB13" i="1"/>
  <c r="Y13" i="1"/>
  <c r="X13" i="1"/>
  <c r="U13" i="1"/>
  <c r="T13" i="1"/>
  <c r="Q13" i="1"/>
  <c r="P13" i="1"/>
  <c r="M13" i="1"/>
  <c r="L13" i="1"/>
  <c r="I13" i="1"/>
  <c r="H13" i="1"/>
  <c r="D13" i="1"/>
  <c r="E13" i="1"/>
  <c r="AE12" i="1"/>
  <c r="AG12" i="1" s="1"/>
  <c r="AD12" i="1"/>
  <c r="AC12" i="1"/>
  <c r="AB12" i="1"/>
  <c r="Y12" i="1"/>
  <c r="X12" i="1"/>
  <c r="U12" i="1"/>
  <c r="T12" i="1"/>
  <c r="Q12" i="1"/>
  <c r="P12" i="1"/>
  <c r="M12" i="1"/>
  <c r="L12" i="1"/>
  <c r="I12" i="1"/>
  <c r="H12" i="1"/>
  <c r="E12" i="1"/>
  <c r="D12" i="1"/>
  <c r="AA11" i="1"/>
  <c r="Z11" i="1"/>
  <c r="W11" i="1"/>
  <c r="V11" i="1"/>
  <c r="S11" i="1"/>
  <c r="U11" i="1" s="1"/>
  <c r="R11" i="1"/>
  <c r="O11" i="1"/>
  <c r="N11" i="1"/>
  <c r="K11" i="1"/>
  <c r="J11" i="1"/>
  <c r="F11" i="1"/>
  <c r="C11" i="1"/>
  <c r="B11" i="1"/>
  <c r="AD10" i="1"/>
  <c r="AC10" i="1"/>
  <c r="AB10" i="1"/>
  <c r="Y10" i="1"/>
  <c r="X10" i="1"/>
  <c r="U10" i="1"/>
  <c r="T10" i="1"/>
  <c r="Q10" i="1"/>
  <c r="P10" i="1"/>
  <c r="M10" i="1"/>
  <c r="L10" i="1"/>
  <c r="G10" i="1"/>
  <c r="AE10" i="1" s="1"/>
  <c r="E10" i="1"/>
  <c r="D10" i="1"/>
  <c r="AD9" i="1"/>
  <c r="AC9" i="1"/>
  <c r="AB9" i="1"/>
  <c r="Y9" i="1"/>
  <c r="X9" i="1"/>
  <c r="U9" i="1"/>
  <c r="T9" i="1"/>
  <c r="Q9" i="1"/>
  <c r="P9" i="1"/>
  <c r="M9" i="1"/>
  <c r="L9" i="1"/>
  <c r="E9" i="1"/>
  <c r="D9" i="1"/>
  <c r="AE8" i="1"/>
  <c r="AG8" i="1" s="1"/>
  <c r="AD8" i="1"/>
  <c r="AC8" i="1"/>
  <c r="AB8" i="1"/>
  <c r="Y8" i="1"/>
  <c r="X8" i="1"/>
  <c r="U8" i="1"/>
  <c r="T8" i="1"/>
  <c r="Q8" i="1"/>
  <c r="P8" i="1"/>
  <c r="M8" i="1"/>
  <c r="L8" i="1"/>
  <c r="I8" i="1"/>
  <c r="H8" i="1"/>
  <c r="E8" i="1"/>
  <c r="D8" i="1"/>
  <c r="P152" i="1" l="1"/>
  <c r="AF56" i="1"/>
  <c r="AG25" i="1"/>
  <c r="AC72" i="1"/>
  <c r="AE132" i="1"/>
  <c r="H66" i="1"/>
  <c r="D67" i="1"/>
  <c r="AB68" i="1"/>
  <c r="AF153" i="1"/>
  <c r="C98" i="1"/>
  <c r="AB86" i="1"/>
  <c r="C154" i="1"/>
  <c r="B152" i="1"/>
  <c r="D152" i="1" s="1"/>
  <c r="AB117" i="1"/>
  <c r="AB127" i="1"/>
  <c r="AF25" i="1"/>
  <c r="H18" i="1"/>
  <c r="P35" i="1"/>
  <c r="AE78" i="1"/>
  <c r="N142" i="1"/>
  <c r="X142" i="1"/>
  <c r="AC68" i="1"/>
  <c r="G154" i="1"/>
  <c r="R81" i="1"/>
  <c r="AG79" i="1"/>
  <c r="E91" i="1"/>
  <c r="AC114" i="1"/>
  <c r="E139" i="1"/>
  <c r="T98" i="1"/>
  <c r="AE114" i="1"/>
  <c r="AG114" i="1" s="1"/>
  <c r="I139" i="1"/>
  <c r="X152" i="1"/>
  <c r="AB40" i="1"/>
  <c r="AB53" i="1"/>
  <c r="AD57" i="1"/>
  <c r="AG57" i="1" s="1"/>
  <c r="P68" i="1"/>
  <c r="D70" i="1"/>
  <c r="AC70" i="1"/>
  <c r="L81" i="1"/>
  <c r="AB151" i="1"/>
  <c r="R30" i="1"/>
  <c r="AC41" i="1"/>
  <c r="H141" i="1"/>
  <c r="G142" i="1"/>
  <c r="AB50" i="1"/>
  <c r="AC77" i="1"/>
  <c r="AB55" i="1"/>
  <c r="L18" i="1"/>
  <c r="P40" i="1"/>
  <c r="T58" i="1"/>
  <c r="I81" i="1"/>
  <c r="Q90" i="1"/>
  <c r="D115" i="1"/>
  <c r="J154" i="1"/>
  <c r="L154" i="1" s="1"/>
  <c r="AC55" i="1"/>
  <c r="D72" i="1"/>
  <c r="AB121" i="1"/>
  <c r="AF144" i="1"/>
  <c r="T152" i="1"/>
  <c r="AD41" i="1"/>
  <c r="Q49" i="1"/>
  <c r="AC83" i="1"/>
  <c r="T102" i="1"/>
  <c r="AG103" i="1"/>
  <c r="H106" i="1"/>
  <c r="P109" i="1"/>
  <c r="H111" i="1"/>
  <c r="AB112" i="1"/>
  <c r="AF36" i="1"/>
  <c r="AD86" i="1"/>
  <c r="AF150" i="1"/>
  <c r="AC42" i="1"/>
  <c r="AC39" i="1"/>
  <c r="AF62" i="1"/>
  <c r="AC84" i="1"/>
  <c r="AE86" i="1"/>
  <c r="AC89" i="1"/>
  <c r="L106" i="1"/>
  <c r="P129" i="1"/>
  <c r="E71" i="1"/>
  <c r="AE95" i="1"/>
  <c r="AD93" i="1"/>
  <c r="D90" i="1"/>
  <c r="E101" i="1"/>
  <c r="AD107" i="1"/>
  <c r="AC107" i="1"/>
  <c r="S154" i="1"/>
  <c r="U154" i="1" s="1"/>
  <c r="Q39" i="1"/>
  <c r="I70" i="1"/>
  <c r="V44" i="1"/>
  <c r="T18" i="1"/>
  <c r="P30" i="1"/>
  <c r="P72" i="1"/>
  <c r="AD77" i="1"/>
  <c r="D91" i="1"/>
  <c r="Q111" i="1"/>
  <c r="AE117" i="1"/>
  <c r="AE127" i="1"/>
  <c r="X18" i="1"/>
  <c r="AD118" i="1"/>
  <c r="AB118" i="1"/>
  <c r="H63" i="1"/>
  <c r="E109" i="1"/>
  <c r="P18" i="1"/>
  <c r="Q51" i="1"/>
  <c r="AB56" i="1"/>
  <c r="AD71" i="1"/>
  <c r="AF71" i="1" s="1"/>
  <c r="AB90" i="1"/>
  <c r="AC93" i="1"/>
  <c r="P111" i="1"/>
  <c r="L115" i="1"/>
  <c r="D123" i="1"/>
  <c r="AD141" i="1"/>
  <c r="AF141" i="1" s="1"/>
  <c r="L147" i="1"/>
  <c r="AF19" i="1"/>
  <c r="AF31" i="1"/>
  <c r="U58" i="1"/>
  <c r="F59" i="1"/>
  <c r="H59" i="1" s="1"/>
  <c r="P112" i="1"/>
  <c r="AC115" i="1"/>
  <c r="E124" i="1"/>
  <c r="AE128" i="1"/>
  <c r="AF129" i="1"/>
  <c r="AC132" i="1"/>
  <c r="Q35" i="1"/>
  <c r="AB54" i="1"/>
  <c r="AE71" i="1"/>
  <c r="H81" i="1"/>
  <c r="AE100" i="1"/>
  <c r="AE139" i="1"/>
  <c r="AA58" i="1"/>
  <c r="AA59" i="1" s="1"/>
  <c r="AC86" i="1"/>
  <c r="AC91" i="1"/>
  <c r="P96" i="1"/>
  <c r="D101" i="1"/>
  <c r="AB101" i="1"/>
  <c r="E110" i="1"/>
  <c r="AD117" i="1"/>
  <c r="L122" i="1"/>
  <c r="U18" i="1"/>
  <c r="AF20" i="1"/>
  <c r="AC54" i="1"/>
  <c r="Q70" i="1"/>
  <c r="AB72" i="1"/>
  <c r="E133" i="1"/>
  <c r="P36" i="1"/>
  <c r="E87" i="1"/>
  <c r="AD90" i="1"/>
  <c r="P93" i="1"/>
  <c r="AD101" i="1"/>
  <c r="T115" i="1"/>
  <c r="D117" i="1"/>
  <c r="AA122" i="1"/>
  <c r="AD126" i="1"/>
  <c r="AF126" i="1" s="1"/>
  <c r="P128" i="1"/>
  <c r="B134" i="1"/>
  <c r="D134" i="1" s="1"/>
  <c r="V154" i="1"/>
  <c r="V155" i="1" s="1"/>
  <c r="AC151" i="1"/>
  <c r="L32" i="1"/>
  <c r="P49" i="1"/>
  <c r="E58" i="1"/>
  <c r="H72" i="1"/>
  <c r="P75" i="1"/>
  <c r="L92" i="1"/>
  <c r="P121" i="1"/>
  <c r="D139" i="1"/>
  <c r="D126" i="1"/>
  <c r="H147" i="1"/>
  <c r="H152" i="1"/>
  <c r="AB18" i="1"/>
  <c r="AG80" i="1"/>
  <c r="E88" i="1"/>
  <c r="T90" i="1"/>
  <c r="P100" i="1"/>
  <c r="D118" i="1"/>
  <c r="AC118" i="1"/>
  <c r="AG23" i="1"/>
  <c r="M33" i="1"/>
  <c r="P34" i="1"/>
  <c r="AC52" i="1"/>
  <c r="I58" i="1"/>
  <c r="AE88" i="1"/>
  <c r="X92" i="1"/>
  <c r="E96" i="1"/>
  <c r="U100" i="1"/>
  <c r="AC102" i="1"/>
  <c r="D119" i="1"/>
  <c r="AB119" i="1"/>
  <c r="AF123" i="1"/>
  <c r="D127" i="1"/>
  <c r="AC127" i="1"/>
  <c r="Z134" i="1"/>
  <c r="AG140" i="1"/>
  <c r="L152" i="1"/>
  <c r="T43" i="1"/>
  <c r="AE41" i="1"/>
  <c r="C43" i="1"/>
  <c r="E43" i="1" s="1"/>
  <c r="M47" i="1"/>
  <c r="AB52" i="1"/>
  <c r="AD54" i="1"/>
  <c r="AF54" i="1" s="1"/>
  <c r="AC57" i="1"/>
  <c r="AD66" i="1"/>
  <c r="AG66" i="1" s="1"/>
  <c r="AB67" i="1"/>
  <c r="O81" i="1"/>
  <c r="AF80" i="1"/>
  <c r="U90" i="1"/>
  <c r="AD102" i="1"/>
  <c r="P103" i="1"/>
  <c r="AF113" i="1"/>
  <c r="H115" i="1"/>
  <c r="X115" i="1"/>
  <c r="D120" i="1"/>
  <c r="AD128" i="1"/>
  <c r="AF130" i="1"/>
  <c r="AF135" i="1"/>
  <c r="AB146" i="1"/>
  <c r="M147" i="1"/>
  <c r="AB39" i="1"/>
  <c r="P41" i="1"/>
  <c r="O43" i="1"/>
  <c r="O44" i="1" s="1"/>
  <c r="AB83" i="1"/>
  <c r="F98" i="1"/>
  <c r="H98" i="1" s="1"/>
  <c r="Q103" i="1"/>
  <c r="AE110" i="1"/>
  <c r="AC117" i="1"/>
  <c r="AE120" i="1"/>
  <c r="D141" i="1"/>
  <c r="AF8" i="1"/>
  <c r="AC29" i="1"/>
  <c r="D33" i="1"/>
  <c r="X43" i="1"/>
  <c r="Q41" i="1"/>
  <c r="R59" i="1"/>
  <c r="T59" i="1" s="1"/>
  <c r="D71" i="1"/>
  <c r="Q72" i="1"/>
  <c r="P82" i="1"/>
  <c r="AB84" i="1"/>
  <c r="E90" i="1"/>
  <c r="Q91" i="1"/>
  <c r="S92" i="1"/>
  <c r="T92" i="1" s="1"/>
  <c r="Q96" i="1"/>
  <c r="AF99" i="1"/>
  <c r="S106" i="1"/>
  <c r="AB102" i="1"/>
  <c r="AF105" i="1"/>
  <c r="AB107" i="1"/>
  <c r="AE109" i="1"/>
  <c r="AD111" i="1"/>
  <c r="Q112" i="1"/>
  <c r="P119" i="1"/>
  <c r="X122" i="1"/>
  <c r="E128" i="1"/>
  <c r="AE146" i="1"/>
  <c r="AF146" i="1" s="1"/>
  <c r="AG36" i="1"/>
  <c r="AE50" i="1"/>
  <c r="H64" i="1"/>
  <c r="AD64" i="1"/>
  <c r="AF64" i="1" s="1"/>
  <c r="G67" i="1"/>
  <c r="G136" i="1" s="1"/>
  <c r="Q93" i="1"/>
  <c r="Q109" i="1"/>
  <c r="AF12" i="1"/>
  <c r="AE29" i="1"/>
  <c r="AG29" i="1" s="1"/>
  <c r="M32" i="1"/>
  <c r="AB34" i="1"/>
  <c r="AF37" i="1"/>
  <c r="AD39" i="1"/>
  <c r="AA43" i="1"/>
  <c r="AE42" i="1"/>
  <c r="AG42" i="1" s="1"/>
  <c r="AF46" i="1"/>
  <c r="O58" i="1"/>
  <c r="O59" i="1" s="1"/>
  <c r="X50" i="1"/>
  <c r="J136" i="1"/>
  <c r="S81" i="1"/>
  <c r="Q77" i="1"/>
  <c r="AD84" i="1"/>
  <c r="P89" i="1"/>
  <c r="AC90" i="1"/>
  <c r="D111" i="1"/>
  <c r="AB114" i="1"/>
  <c r="AD115" i="1"/>
  <c r="E118" i="1"/>
  <c r="AC121" i="1"/>
  <c r="I128" i="1"/>
  <c r="AC128" i="1"/>
  <c r="AC131" i="1"/>
  <c r="C142" i="1"/>
  <c r="AB139" i="1"/>
  <c r="AD147" i="1"/>
  <c r="T147" i="1"/>
  <c r="AE149" i="1"/>
  <c r="AE77" i="1"/>
  <c r="AD83" i="1"/>
  <c r="AG87" i="1"/>
  <c r="AE90" i="1"/>
  <c r="AA92" i="1"/>
  <c r="B122" i="1"/>
  <c r="J155" i="1"/>
  <c r="Q151" i="1"/>
  <c r="AD22" i="1"/>
  <c r="AF22" i="1" s="1"/>
  <c r="Z30" i="1"/>
  <c r="Y50" i="1"/>
  <c r="AG53" i="1"/>
  <c r="G11" i="1"/>
  <c r="G44" i="1" s="1"/>
  <c r="T11" i="1"/>
  <c r="AD26" i="1"/>
  <c r="AF26" i="1" s="1"/>
  <c r="H30" i="1"/>
  <c r="L33" i="1"/>
  <c r="Q36" i="1"/>
  <c r="P39" i="1"/>
  <c r="AF49" i="1"/>
  <c r="AG56" i="1"/>
  <c r="P67" i="1"/>
  <c r="E72" i="1"/>
  <c r="C81" i="1"/>
  <c r="D79" i="1"/>
  <c r="T80" i="1"/>
  <c r="Q83" i="1"/>
  <c r="AD91" i="1"/>
  <c r="T97" i="1"/>
  <c r="AC111" i="1"/>
  <c r="P115" i="1"/>
  <c r="AG129" i="1"/>
  <c r="AC139" i="1"/>
  <c r="E147" i="1"/>
  <c r="D150" i="1"/>
  <c r="AB38" i="1"/>
  <c r="AB41" i="1"/>
  <c r="D69" i="1"/>
  <c r="E79" i="1"/>
  <c r="AF85" i="1"/>
  <c r="AB91" i="1"/>
  <c r="I111" i="1"/>
  <c r="D129" i="1"/>
  <c r="L142" i="1"/>
  <c r="AE65" i="1"/>
  <c r="AG65" i="1" s="1"/>
  <c r="AF103" i="1"/>
  <c r="Q128" i="1"/>
  <c r="AB132" i="1"/>
  <c r="P141" i="1"/>
  <c r="X147" i="1"/>
  <c r="AF10" i="1"/>
  <c r="AD69" i="1"/>
  <c r="AG69" i="1" s="1"/>
  <c r="AD76" i="1"/>
  <c r="I93" i="1"/>
  <c r="U105" i="1"/>
  <c r="AC112" i="1"/>
  <c r="AC119" i="1"/>
  <c r="Q121" i="1"/>
  <c r="AF125" i="1"/>
  <c r="O134" i="1"/>
  <c r="E140" i="1"/>
  <c r="Y147" i="1"/>
  <c r="H10" i="1"/>
  <c r="W44" i="1"/>
  <c r="Y44" i="1" s="1"/>
  <c r="AD27" i="1"/>
  <c r="AG27" i="1" s="1"/>
  <c r="AD38" i="1"/>
  <c r="AG38" i="1" s="1"/>
  <c r="I10" i="1"/>
  <c r="D28" i="1"/>
  <c r="AD35" i="1"/>
  <c r="AF35" i="1" s="1"/>
  <c r="Q40" i="1"/>
  <c r="L47" i="1"/>
  <c r="Q50" i="1"/>
  <c r="AG63" i="1"/>
  <c r="AB70" i="1"/>
  <c r="AE72" i="1"/>
  <c r="AE82" i="1"/>
  <c r="AG82" i="1" s="1"/>
  <c r="Z92" i="1"/>
  <c r="H93" i="1"/>
  <c r="AB93" i="1"/>
  <c r="E97" i="1"/>
  <c r="AA98" i="1"/>
  <c r="AC101" i="1"/>
  <c r="U102" i="1"/>
  <c r="Z106" i="1"/>
  <c r="AB106" i="1" s="1"/>
  <c r="H109" i="1"/>
  <c r="AE115" i="1"/>
  <c r="E117" i="1"/>
  <c r="P118" i="1"/>
  <c r="T122" i="1"/>
  <c r="AE124" i="1"/>
  <c r="E127" i="1"/>
  <c r="Q131" i="1"/>
  <c r="AF140" i="1"/>
  <c r="AF24" i="1"/>
  <c r="AG21" i="1"/>
  <c r="AG20" i="1"/>
  <c r="AF16" i="1"/>
  <c r="AG16" i="1"/>
  <c r="AG13" i="1"/>
  <c r="AG10" i="1"/>
  <c r="AF21" i="1"/>
  <c r="H11" i="1"/>
  <c r="K59" i="1"/>
  <c r="AF23" i="1"/>
  <c r="V59" i="1"/>
  <c r="V60" i="1" s="1"/>
  <c r="AG24" i="1"/>
  <c r="AG49" i="1"/>
  <c r="D58" i="1"/>
  <c r="B59" i="1"/>
  <c r="AG37" i="1"/>
  <c r="H43" i="1"/>
  <c r="AF53" i="1"/>
  <c r="AE18" i="1"/>
  <c r="I43" i="1"/>
  <c r="AG17" i="1"/>
  <c r="AF17" i="1"/>
  <c r="AF63" i="1"/>
  <c r="Q132" i="1"/>
  <c r="P132" i="1"/>
  <c r="T142" i="1"/>
  <c r="L11" i="1"/>
  <c r="X11" i="1"/>
  <c r="AD15" i="1"/>
  <c r="AF15" i="1" s="1"/>
  <c r="T22" i="1"/>
  <c r="D23" i="1"/>
  <c r="AD28" i="1"/>
  <c r="AF28" i="1" s="1"/>
  <c r="C44" i="1"/>
  <c r="AA30" i="1"/>
  <c r="H34" i="1"/>
  <c r="T34" i="1"/>
  <c r="Q42" i="1"/>
  <c r="AE48" i="1"/>
  <c r="AG48" i="1" s="1"/>
  <c r="D50" i="1"/>
  <c r="AD52" i="1"/>
  <c r="AD55" i="1"/>
  <c r="AD68" i="1"/>
  <c r="AF68" i="1" s="1"/>
  <c r="E70" i="1"/>
  <c r="AD72" i="1"/>
  <c r="AE83" i="1"/>
  <c r="AE96" i="1"/>
  <c r="R106" i="1"/>
  <c r="T100" i="1"/>
  <c r="E112" i="1"/>
  <c r="AG116" i="1"/>
  <c r="AF116" i="1"/>
  <c r="AG123" i="1"/>
  <c r="Q127" i="1"/>
  <c r="P127" i="1"/>
  <c r="Q139" i="1"/>
  <c r="P139" i="1"/>
  <c r="O142" i="1"/>
  <c r="AC109" i="1"/>
  <c r="AB109" i="1"/>
  <c r="AD112" i="1"/>
  <c r="D112" i="1"/>
  <c r="AA134" i="1"/>
  <c r="AC133" i="1"/>
  <c r="M11" i="1"/>
  <c r="Y11" i="1"/>
  <c r="E20" i="1"/>
  <c r="U22" i="1"/>
  <c r="E23" i="1"/>
  <c r="E27" i="1"/>
  <c r="I34" i="1"/>
  <c r="U34" i="1"/>
  <c r="AC40" i="1"/>
  <c r="B43" i="1"/>
  <c r="N43" i="1"/>
  <c r="Z43" i="1"/>
  <c r="F44" i="1"/>
  <c r="R44" i="1"/>
  <c r="E67" i="1"/>
  <c r="AD70" i="1"/>
  <c r="AD75" i="1"/>
  <c r="Q75" i="1"/>
  <c r="P77" i="1"/>
  <c r="AD78" i="1"/>
  <c r="AF78" i="1" s="1"/>
  <c r="X78" i="1"/>
  <c r="U80" i="1"/>
  <c r="AD97" i="1"/>
  <c r="E119" i="1"/>
  <c r="C122" i="1"/>
  <c r="AE119" i="1"/>
  <c r="AG141" i="1"/>
  <c r="O154" i="1"/>
  <c r="Q152" i="1"/>
  <c r="AD33" i="1"/>
  <c r="J34" i="1"/>
  <c r="AD34" i="1" s="1"/>
  <c r="AD40" i="1"/>
  <c r="F67" i="1"/>
  <c r="AE89" i="1"/>
  <c r="AG89" i="1" s="1"/>
  <c r="E89" i="1"/>
  <c r="E100" i="1"/>
  <c r="B106" i="1"/>
  <c r="AF110" i="1"/>
  <c r="AG110" i="1"/>
  <c r="AE33" i="1"/>
  <c r="K34" i="1"/>
  <c r="AE40" i="1"/>
  <c r="AD47" i="1"/>
  <c r="P48" i="1"/>
  <c r="Q68" i="1"/>
  <c r="H70" i="1"/>
  <c r="E73" i="1"/>
  <c r="D75" i="1"/>
  <c r="AE76" i="1"/>
  <c r="Y78" i="1"/>
  <c r="P83" i="1"/>
  <c r="D89" i="1"/>
  <c r="AE91" i="1"/>
  <c r="D97" i="1"/>
  <c r="Q101" i="1"/>
  <c r="P101" i="1"/>
  <c r="O106" i="1"/>
  <c r="Q106" i="1" s="1"/>
  <c r="Q118" i="1"/>
  <c r="AD119" i="1"/>
  <c r="N122" i="1"/>
  <c r="D124" i="1"/>
  <c r="H134" i="1"/>
  <c r="H142" i="1"/>
  <c r="AE145" i="1"/>
  <c r="AA147" i="1"/>
  <c r="AE147" i="1" s="1"/>
  <c r="AC145" i="1"/>
  <c r="AB145" i="1"/>
  <c r="I154" i="1"/>
  <c r="G155" i="1"/>
  <c r="AE9" i="1"/>
  <c r="AG9" i="1" s="1"/>
  <c r="P11" i="1"/>
  <c r="S30" i="1"/>
  <c r="U30" i="1" s="1"/>
  <c r="X34" i="1"/>
  <c r="AE47" i="1"/>
  <c r="Q48" i="1"/>
  <c r="AD51" i="1"/>
  <c r="AF51" i="1" s="1"/>
  <c r="J58" i="1"/>
  <c r="M58" i="1" s="1"/>
  <c r="T67" i="1"/>
  <c r="E75" i="1"/>
  <c r="C92" i="1"/>
  <c r="D100" i="1"/>
  <c r="E107" i="1"/>
  <c r="D107" i="1"/>
  <c r="AD120" i="1"/>
  <c r="AB120" i="1"/>
  <c r="W155" i="1"/>
  <c r="Y155" i="1" s="1"/>
  <c r="H9" i="1"/>
  <c r="I9" i="1"/>
  <c r="D11" i="1"/>
  <c r="AB11" i="1"/>
  <c r="E11" i="1"/>
  <c r="Q11" i="1"/>
  <c r="AC11" i="1"/>
  <c r="AE14" i="1"/>
  <c r="AG14" i="1" s="1"/>
  <c r="E26" i="1"/>
  <c r="AD32" i="1"/>
  <c r="Y34" i="1"/>
  <c r="AC38" i="1"/>
  <c r="AE39" i="1"/>
  <c r="W58" i="1"/>
  <c r="X58" i="1" s="1"/>
  <c r="U67" i="1"/>
  <c r="E69" i="1"/>
  <c r="AE73" i="1"/>
  <c r="AE84" i="1"/>
  <c r="D87" i="1"/>
  <c r="AF94" i="1"/>
  <c r="AE97" i="1"/>
  <c r="AG97" i="1" s="1"/>
  <c r="Y98" i="1"/>
  <c r="X98" i="1"/>
  <c r="AE70" i="1"/>
  <c r="AG70" i="1" s="1"/>
  <c r="Z81" i="1"/>
  <c r="AB75" i="1"/>
  <c r="N92" i="1"/>
  <c r="P86" i="1"/>
  <c r="B98" i="1"/>
  <c r="E98" i="1" s="1"/>
  <c r="AD95" i="1"/>
  <c r="D95" i="1"/>
  <c r="AC142" i="1"/>
  <c r="AD11" i="1"/>
  <c r="AE32" i="1"/>
  <c r="AB42" i="1"/>
  <c r="AC50" i="1"/>
  <c r="AC53" i="1"/>
  <c r="AC56" i="1"/>
  <c r="E59" i="1"/>
  <c r="I63" i="1"/>
  <c r="I66" i="1"/>
  <c r="K136" i="1"/>
  <c r="M136" i="1" s="1"/>
  <c r="P70" i="1"/>
  <c r="H75" i="1"/>
  <c r="AA81" i="1"/>
  <c r="Q86" i="1"/>
  <c r="P91" i="1"/>
  <c r="D93" i="1"/>
  <c r="E95" i="1"/>
  <c r="AD100" i="1"/>
  <c r="D108" i="1"/>
  <c r="AB115" i="1"/>
  <c r="Q119" i="1"/>
  <c r="AD121" i="1"/>
  <c r="E121" i="1"/>
  <c r="D121" i="1"/>
  <c r="N134" i="1"/>
  <c r="P134" i="1" s="1"/>
  <c r="I142" i="1"/>
  <c r="AB142" i="1"/>
  <c r="D21" i="1"/>
  <c r="D24" i="1"/>
  <c r="D34" i="1"/>
  <c r="AB37" i="1"/>
  <c r="P50" i="1"/>
  <c r="AD50" i="1"/>
  <c r="AF50" i="1" s="1"/>
  <c r="P51" i="1"/>
  <c r="N58" i="1"/>
  <c r="Z58" i="1"/>
  <c r="L67" i="1"/>
  <c r="X67" i="1"/>
  <c r="I75" i="1"/>
  <c r="AC75" i="1"/>
  <c r="E93" i="1"/>
  <c r="AE93" i="1"/>
  <c r="N98" i="1"/>
  <c r="P98" i="1" s="1"/>
  <c r="P97" i="1"/>
  <c r="AE102" i="1"/>
  <c r="AG102" i="1" s="1"/>
  <c r="Q102" i="1"/>
  <c r="P102" i="1"/>
  <c r="E108" i="1"/>
  <c r="AE108" i="1"/>
  <c r="AD132" i="1"/>
  <c r="AF132" i="1" s="1"/>
  <c r="B18" i="1"/>
  <c r="E28" i="1"/>
  <c r="L30" i="1"/>
  <c r="X30" i="1"/>
  <c r="AC37" i="1"/>
  <c r="M67" i="1"/>
  <c r="Y67" i="1"/>
  <c r="AE75" i="1"/>
  <c r="U76" i="1"/>
  <c r="AB77" i="1"/>
  <c r="AF79" i="1"/>
  <c r="V81" i="1"/>
  <c r="V136" i="1" s="1"/>
  <c r="P84" i="1"/>
  <c r="AF87" i="1"/>
  <c r="AD96" i="1"/>
  <c r="AE101" i="1"/>
  <c r="AG101" i="1" s="1"/>
  <c r="C106" i="1"/>
  <c r="Y104" i="1"/>
  <c r="W106" i="1"/>
  <c r="Y106" i="1" s="1"/>
  <c r="X104" i="1"/>
  <c r="AE104" i="1"/>
  <c r="AG105" i="1"/>
  <c r="AB111" i="1"/>
  <c r="Q117" i="1"/>
  <c r="O122" i="1"/>
  <c r="P117" i="1"/>
  <c r="Z122" i="1"/>
  <c r="Q124" i="1"/>
  <c r="P124" i="1"/>
  <c r="AD124" i="1"/>
  <c r="I127" i="1"/>
  <c r="H127" i="1"/>
  <c r="AD127" i="1"/>
  <c r="U134" i="1"/>
  <c r="T134" i="1"/>
  <c r="K155" i="1"/>
  <c r="M155" i="1" s="1"/>
  <c r="H65" i="1"/>
  <c r="I72" i="1"/>
  <c r="AF74" i="1"/>
  <c r="B92" i="1"/>
  <c r="AD88" i="1"/>
  <c r="D88" i="1"/>
  <c r="O92" i="1"/>
  <c r="Z98" i="1"/>
  <c r="AB98" i="1" s="1"/>
  <c r="AB96" i="1"/>
  <c r="L98" i="1"/>
  <c r="D104" i="1"/>
  <c r="AD104" i="1"/>
  <c r="D109" i="1"/>
  <c r="AD109" i="1"/>
  <c r="AF128" i="1"/>
  <c r="AB133" i="1"/>
  <c r="AB149" i="1"/>
  <c r="Z152" i="1"/>
  <c r="AD149" i="1"/>
  <c r="AE111" i="1"/>
  <c r="AG111" i="1" s="1"/>
  <c r="AE112" i="1"/>
  <c r="AG112" i="1" s="1"/>
  <c r="AE121" i="1"/>
  <c r="P131" i="1"/>
  <c r="M142" i="1"/>
  <c r="Y142" i="1"/>
  <c r="I147" i="1"/>
  <c r="U147" i="1"/>
  <c r="N154" i="1"/>
  <c r="B142" i="1"/>
  <c r="T105" i="1"/>
  <c r="E123" i="1"/>
  <c r="D128" i="1"/>
  <c r="D133" i="1"/>
  <c r="AD139" i="1"/>
  <c r="T141" i="1"/>
  <c r="D148" i="1"/>
  <c r="AE107" i="1"/>
  <c r="AG107" i="1" s="1"/>
  <c r="E111" i="1"/>
  <c r="AE118" i="1"/>
  <c r="AG118" i="1" s="1"/>
  <c r="E126" i="1"/>
  <c r="E129" i="1"/>
  <c r="E141" i="1"/>
  <c r="AD148" i="1"/>
  <c r="AF148" i="1" s="1"/>
  <c r="F154" i="1"/>
  <c r="H154" i="1" s="1"/>
  <c r="R154" i="1"/>
  <c r="B81" i="1"/>
  <c r="N81" i="1"/>
  <c r="P107" i="1"/>
  <c r="X125" i="1"/>
  <c r="AD151" i="1"/>
  <c r="D110" i="1"/>
  <c r="AE151" i="1"/>
  <c r="P90" i="1"/>
  <c r="F122" i="1"/>
  <c r="H122" i="1" s="1"/>
  <c r="AE133" i="1"/>
  <c r="D135" i="1"/>
  <c r="D140" i="1"/>
  <c r="D147" i="1"/>
  <c r="P151" i="1"/>
  <c r="T76" i="1"/>
  <c r="AD131" i="1"/>
  <c r="AA152" i="1"/>
  <c r="AE152" i="1" s="1"/>
  <c r="AE131" i="1"/>
  <c r="B154" i="1" l="1"/>
  <c r="B155" i="1" s="1"/>
  <c r="E152" i="1"/>
  <c r="C155" i="1"/>
  <c r="D122" i="1"/>
  <c r="AB122" i="1"/>
  <c r="AF114" i="1"/>
  <c r="AG83" i="1"/>
  <c r="E81" i="1"/>
  <c r="U81" i="1"/>
  <c r="AF57" i="1"/>
  <c r="AC58" i="1"/>
  <c r="Q58" i="1"/>
  <c r="AA44" i="1"/>
  <c r="AA60" i="1" s="1"/>
  <c r="AB152" i="1"/>
  <c r="AG147" i="1"/>
  <c r="AF109" i="1"/>
  <c r="AF27" i="1"/>
  <c r="AF139" i="1"/>
  <c r="AF66" i="1"/>
  <c r="AE98" i="1"/>
  <c r="AE11" i="1"/>
  <c r="AG11" i="1" s="1"/>
  <c r="AG76" i="1"/>
  <c r="AG26" i="1"/>
  <c r="AG128" i="1"/>
  <c r="AF88" i="1"/>
  <c r="S155" i="1"/>
  <c r="U155" i="1" s="1"/>
  <c r="AB92" i="1"/>
  <c r="T154" i="1"/>
  <c r="AG47" i="1"/>
  <c r="AG100" i="1"/>
  <c r="AG86" i="1"/>
  <c r="AG95" i="1"/>
  <c r="AF127" i="1"/>
  <c r="X154" i="1"/>
  <c r="AG151" i="1"/>
  <c r="AG75" i="1"/>
  <c r="AF69" i="1"/>
  <c r="AF117" i="1"/>
  <c r="U92" i="1"/>
  <c r="AC134" i="1"/>
  <c r="AG54" i="1"/>
  <c r="AG77" i="1"/>
  <c r="AF41" i="1"/>
  <c r="AF38" i="1"/>
  <c r="E134" i="1"/>
  <c r="I11" i="1"/>
  <c r="AD30" i="1"/>
  <c r="U106" i="1"/>
  <c r="AF96" i="1"/>
  <c r="AF72" i="1"/>
  <c r="AF86" i="1"/>
  <c r="AF29" i="1"/>
  <c r="AG146" i="1"/>
  <c r="AG93" i="1"/>
  <c r="AF100" i="1"/>
  <c r="AG115" i="1"/>
  <c r="AG117" i="1"/>
  <c r="AF95" i="1"/>
  <c r="P43" i="1"/>
  <c r="AF32" i="1"/>
  <c r="AF40" i="1"/>
  <c r="Q134" i="1"/>
  <c r="AG104" i="1"/>
  <c r="AG41" i="1"/>
  <c r="E142" i="1"/>
  <c r="AG71" i="1"/>
  <c r="AF65" i="1"/>
  <c r="AG39" i="1"/>
  <c r="AG126" i="1"/>
  <c r="AG120" i="1"/>
  <c r="AG90" i="1"/>
  <c r="AC81" i="1"/>
  <c r="AF124" i="1"/>
  <c r="AG127" i="1"/>
  <c r="I67" i="1"/>
  <c r="T106" i="1"/>
  <c r="Q122" i="1"/>
  <c r="AG91" i="1"/>
  <c r="AF101" i="1"/>
  <c r="X44" i="1"/>
  <c r="Q43" i="1"/>
  <c r="AE67" i="1"/>
  <c r="B44" i="1"/>
  <c r="E44" i="1" s="1"/>
  <c r="AF120" i="1"/>
  <c r="R136" i="1"/>
  <c r="AG22" i="1"/>
  <c r="R155" i="1"/>
  <c r="T155" i="1" s="1"/>
  <c r="AG68" i="1"/>
  <c r="AF102" i="1"/>
  <c r="S44" i="1"/>
  <c r="S60" i="1" s="1"/>
  <c r="AE58" i="1"/>
  <c r="AF83" i="1"/>
  <c r="AC92" i="1"/>
  <c r="AG35" i="1"/>
  <c r="Z136" i="1"/>
  <c r="AB134" i="1"/>
  <c r="Q92" i="1"/>
  <c r="C136" i="1"/>
  <c r="AF119" i="1"/>
  <c r="AF90" i="1"/>
  <c r="AF77" i="1"/>
  <c r="AF131" i="1"/>
  <c r="AF33" i="1"/>
  <c r="AF89" i="1"/>
  <c r="AB43" i="1"/>
  <c r="AG88" i="1"/>
  <c r="AC30" i="1"/>
  <c r="AG64" i="1"/>
  <c r="AF82" i="1"/>
  <c r="AF115" i="1"/>
  <c r="P81" i="1"/>
  <c r="AD122" i="1"/>
  <c r="AF121" i="1"/>
  <c r="AD58" i="1"/>
  <c r="S136" i="1"/>
  <c r="AF42" i="1"/>
  <c r="T81" i="1"/>
  <c r="AC106" i="1"/>
  <c r="D30" i="1"/>
  <c r="AF11" i="1"/>
  <c r="AF9" i="1"/>
  <c r="C60" i="1"/>
  <c r="AG55" i="1"/>
  <c r="AF55" i="1"/>
  <c r="AG133" i="1"/>
  <c r="AF133" i="1"/>
  <c r="AA154" i="1"/>
  <c r="AE154" i="1" s="1"/>
  <c r="AC147" i="1"/>
  <c r="AD106" i="1"/>
  <c r="D106" i="1"/>
  <c r="O155" i="1"/>
  <c r="Q142" i="1"/>
  <c r="P142" i="1"/>
  <c r="AG52" i="1"/>
  <c r="AF52" i="1"/>
  <c r="AG28" i="1"/>
  <c r="AG121" i="1"/>
  <c r="AE106" i="1"/>
  <c r="E106" i="1"/>
  <c r="AG108" i="1"/>
  <c r="AF108" i="1"/>
  <c r="AG72" i="1"/>
  <c r="AG124" i="1"/>
  <c r="AG145" i="1"/>
  <c r="AF145" i="1"/>
  <c r="Q154" i="1"/>
  <c r="Z44" i="1"/>
  <c r="AD92" i="1"/>
  <c r="D92" i="1"/>
  <c r="F60" i="1"/>
  <c r="H44" i="1"/>
  <c r="X106" i="1"/>
  <c r="P92" i="1"/>
  <c r="P106" i="1"/>
  <c r="N136" i="1"/>
  <c r="AF111" i="1"/>
  <c r="F155" i="1"/>
  <c r="H155" i="1" s="1"/>
  <c r="AE134" i="1"/>
  <c r="AF118" i="1"/>
  <c r="AG132" i="1"/>
  <c r="Q98" i="1"/>
  <c r="AF14" i="1"/>
  <c r="AB30" i="1"/>
  <c r="AG78" i="1"/>
  <c r="T30" i="1"/>
  <c r="G60" i="1"/>
  <c r="I44" i="1"/>
  <c r="AB81" i="1"/>
  <c r="X155" i="1"/>
  <c r="D43" i="1"/>
  <c r="AF104" i="1"/>
  <c r="AG131" i="1"/>
  <c r="Z154" i="1"/>
  <c r="B136" i="1"/>
  <c r="AF93" i="1"/>
  <c r="AB58" i="1"/>
  <c r="Z59" i="1"/>
  <c r="AB59" i="1" s="1"/>
  <c r="AF107" i="1"/>
  <c r="AF47" i="1"/>
  <c r="AF76" i="1"/>
  <c r="AG119" i="1"/>
  <c r="AG96" i="1"/>
  <c r="AG50" i="1"/>
  <c r="AF39" i="1"/>
  <c r="AD152" i="1"/>
  <c r="AF152" i="1" s="1"/>
  <c r="AD142" i="1"/>
  <c r="D142" i="1"/>
  <c r="AC152" i="1"/>
  <c r="AF151" i="1"/>
  <c r="P154" i="1"/>
  <c r="N155" i="1"/>
  <c r="AF149" i="1"/>
  <c r="AG149" i="1"/>
  <c r="P58" i="1"/>
  <c r="N59" i="1"/>
  <c r="P59" i="1" s="1"/>
  <c r="AC98" i="1"/>
  <c r="L136" i="1"/>
  <c r="AG84" i="1"/>
  <c r="AF84" i="1"/>
  <c r="AG40" i="1"/>
  <c r="E122" i="1"/>
  <c r="AE122" i="1"/>
  <c r="AF112" i="1"/>
  <c r="AF91" i="1"/>
  <c r="Q81" i="1"/>
  <c r="O136" i="1"/>
  <c r="AA136" i="1"/>
  <c r="AF75" i="1"/>
  <c r="AE81" i="1"/>
  <c r="D59" i="1"/>
  <c r="AG73" i="1"/>
  <c r="AF73" i="1"/>
  <c r="AE92" i="1"/>
  <c r="E92" i="1"/>
  <c r="K43" i="1"/>
  <c r="M34" i="1"/>
  <c r="X81" i="1"/>
  <c r="Y81" i="1"/>
  <c r="D18" i="1"/>
  <c r="AD18" i="1"/>
  <c r="AF18" i="1" s="1"/>
  <c r="AG32" i="1"/>
  <c r="AB147" i="1"/>
  <c r="AE34" i="1"/>
  <c r="AG34" i="1" s="1"/>
  <c r="P122" i="1"/>
  <c r="AG33" i="1"/>
  <c r="F136" i="1"/>
  <c r="H136" i="1" s="1"/>
  <c r="H67" i="1"/>
  <c r="AD67" i="1"/>
  <c r="AF70" i="1"/>
  <c r="AE30" i="1"/>
  <c r="E30" i="1"/>
  <c r="V137" i="1"/>
  <c r="AG15" i="1"/>
  <c r="O60" i="1"/>
  <c r="AD81" i="1"/>
  <c r="D81" i="1"/>
  <c r="AF97" i="1"/>
  <c r="AG51" i="1"/>
  <c r="L155" i="1"/>
  <c r="W136" i="1"/>
  <c r="Y136" i="1" s="1"/>
  <c r="AF147" i="1"/>
  <c r="AE142" i="1"/>
  <c r="AF48" i="1"/>
  <c r="AD134" i="1"/>
  <c r="AG139" i="1"/>
  <c r="AD98" i="1"/>
  <c r="AF98" i="1" s="1"/>
  <c r="D98" i="1"/>
  <c r="Y58" i="1"/>
  <c r="W59" i="1"/>
  <c r="X59" i="1" s="1"/>
  <c r="L58" i="1"/>
  <c r="J59" i="1"/>
  <c r="L59" i="1" s="1"/>
  <c r="AC122" i="1"/>
  <c r="J43" i="1"/>
  <c r="L34" i="1"/>
  <c r="R60" i="1"/>
  <c r="E18" i="1"/>
  <c r="AC43" i="1"/>
  <c r="AG109" i="1"/>
  <c r="N44" i="1"/>
  <c r="E154" i="1" l="1"/>
  <c r="D154" i="1"/>
  <c r="AD154" i="1"/>
  <c r="AF154" i="1" s="1"/>
  <c r="U136" i="1"/>
  <c r="B60" i="1"/>
  <c r="B137" i="1" s="1"/>
  <c r="D44" i="1"/>
  <c r="E136" i="1"/>
  <c r="AG58" i="1"/>
  <c r="P136" i="1"/>
  <c r="AF134" i="1"/>
  <c r="AF122" i="1"/>
  <c r="Q59" i="1"/>
  <c r="AF142" i="1"/>
  <c r="AG152" i="1"/>
  <c r="AF81" i="1"/>
  <c r="T44" i="1"/>
  <c r="AC136" i="1"/>
  <c r="T136" i="1"/>
  <c r="AG92" i="1"/>
  <c r="AF106" i="1"/>
  <c r="U44" i="1"/>
  <c r="AG98" i="1"/>
  <c r="P155" i="1"/>
  <c r="AG122" i="1"/>
  <c r="AF34" i="1"/>
  <c r="AF58" i="1"/>
  <c r="AD59" i="1"/>
  <c r="AG18" i="1"/>
  <c r="L43" i="1"/>
  <c r="J44" i="1"/>
  <c r="AG81" i="1"/>
  <c r="G137" i="1"/>
  <c r="I60" i="1"/>
  <c r="I136" i="1"/>
  <c r="AD136" i="1"/>
  <c r="D136" i="1"/>
  <c r="C137" i="1"/>
  <c r="AG142" i="1"/>
  <c r="V156" i="1"/>
  <c r="P44" i="1"/>
  <c r="N60" i="1"/>
  <c r="Q44" i="1"/>
  <c r="Y59" i="1"/>
  <c r="W60" i="1"/>
  <c r="AB136" i="1"/>
  <c r="AB154" i="1"/>
  <c r="Z155" i="1"/>
  <c r="AC59" i="1"/>
  <c r="AA137" i="1"/>
  <c r="AF67" i="1"/>
  <c r="AG67" i="1"/>
  <c r="D155" i="1"/>
  <c r="M43" i="1"/>
  <c r="K44" i="1"/>
  <c r="AE43" i="1"/>
  <c r="AC154" i="1"/>
  <c r="AA155" i="1"/>
  <c r="M59" i="1"/>
  <c r="Q136" i="1"/>
  <c r="O137" i="1"/>
  <c r="S137" i="1"/>
  <c r="U60" i="1"/>
  <c r="R137" i="1"/>
  <c r="T60" i="1"/>
  <c r="AB44" i="1"/>
  <c r="Z60" i="1"/>
  <c r="E155" i="1"/>
  <c r="I155" i="1"/>
  <c r="F137" i="1"/>
  <c r="H60" i="1"/>
  <c r="AE136" i="1"/>
  <c r="AD43" i="1"/>
  <c r="X136" i="1"/>
  <c r="AG30" i="1"/>
  <c r="AF30" i="1"/>
  <c r="AC44" i="1"/>
  <c r="AG134" i="1"/>
  <c r="AF92" i="1"/>
  <c r="AG106" i="1"/>
  <c r="Q155" i="1"/>
  <c r="AE59" i="1"/>
  <c r="AG154" i="1" l="1"/>
  <c r="E60" i="1"/>
  <c r="D60" i="1"/>
  <c r="AG59" i="1"/>
  <c r="AG43" i="1"/>
  <c r="AF59" i="1"/>
  <c r="AF136" i="1"/>
  <c r="AF43" i="1"/>
  <c r="AA156" i="1"/>
  <c r="M44" i="1"/>
  <c r="K60" i="1"/>
  <c r="AE44" i="1"/>
  <c r="W137" i="1"/>
  <c r="Y60" i="1"/>
  <c r="X60" i="1"/>
  <c r="F156" i="1"/>
  <c r="H137" i="1"/>
  <c r="Z137" i="1"/>
  <c r="AB60" i="1"/>
  <c r="R156" i="1"/>
  <c r="T137" i="1"/>
  <c r="AC155" i="1"/>
  <c r="AE155" i="1"/>
  <c r="AB155" i="1"/>
  <c r="C156" i="1"/>
  <c r="E137" i="1"/>
  <c r="AD155" i="1"/>
  <c r="J60" i="1"/>
  <c r="L44" i="1"/>
  <c r="AD44" i="1"/>
  <c r="S156" i="1"/>
  <c r="U137" i="1"/>
  <c r="N137" i="1"/>
  <c r="Q137" i="1" s="1"/>
  <c r="P60" i="1"/>
  <c r="Q60" i="1"/>
  <c r="D137" i="1"/>
  <c r="B156" i="1"/>
  <c r="AG136" i="1"/>
  <c r="O156" i="1"/>
  <c r="AC60" i="1"/>
  <c r="G156" i="1"/>
  <c r="I137" i="1"/>
  <c r="AF155" i="1" l="1"/>
  <c r="T156" i="1"/>
  <c r="U156" i="1"/>
  <c r="AF44" i="1"/>
  <c r="H156" i="1"/>
  <c r="AB137" i="1"/>
  <c r="Z156" i="1"/>
  <c r="AB156" i="1" s="1"/>
  <c r="W156" i="1"/>
  <c r="Y137" i="1"/>
  <c r="X137" i="1"/>
  <c r="AG155" i="1"/>
  <c r="K137" i="1"/>
  <c r="M60" i="1"/>
  <c r="AE60" i="1"/>
  <c r="J137" i="1"/>
  <c r="L60" i="1"/>
  <c r="AD60" i="1"/>
  <c r="D156" i="1"/>
  <c r="E156" i="1"/>
  <c r="AG44" i="1"/>
  <c r="P137" i="1"/>
  <c r="N156" i="1"/>
  <c r="P156" i="1" s="1"/>
  <c r="I156" i="1"/>
  <c r="AC137" i="1"/>
  <c r="Q156" i="1" l="1"/>
  <c r="AC156" i="1"/>
  <c r="AF60" i="1"/>
  <c r="L137" i="1"/>
  <c r="J156" i="1"/>
  <c r="AD137" i="1"/>
  <c r="AG60" i="1"/>
  <c r="K156" i="1"/>
  <c r="M137" i="1"/>
  <c r="AE137" i="1"/>
  <c r="Y156" i="1"/>
  <c r="X156" i="1"/>
  <c r="AF137" i="1" l="1"/>
  <c r="L156" i="1"/>
  <c r="AD156" i="1"/>
  <c r="AG137" i="1"/>
  <c r="M156" i="1"/>
  <c r="AE156" i="1"/>
  <c r="AF156" i="1" l="1"/>
  <c r="AG156" i="1"/>
</calcChain>
</file>

<file path=xl/sharedStrings.xml><?xml version="1.0" encoding="utf-8"?>
<sst xmlns="http://schemas.openxmlformats.org/spreadsheetml/2006/main" count="194" uniqueCount="166">
  <si>
    <t>Administration</t>
  </si>
  <si>
    <t>Courts/PD</t>
  </si>
  <si>
    <t>Garbage</t>
  </si>
  <si>
    <t>Gas</t>
  </si>
  <si>
    <t>Park/Comm Center</t>
  </si>
  <si>
    <t>Street</t>
  </si>
  <si>
    <t>Water/Sewer</t>
  </si>
  <si>
    <t>TOTAL</t>
  </si>
  <si>
    <t>Actual</t>
  </si>
  <si>
    <t>Budget</t>
  </si>
  <si>
    <t>over Budget</t>
  </si>
  <si>
    <t>% of Budget</t>
  </si>
  <si>
    <t>Income</t>
  </si>
  <si>
    <t xml:space="preserve">   4000 Court Income</t>
  </si>
  <si>
    <t xml:space="preserve">      4000.1 Fines &amp; Fees</t>
  </si>
  <si>
    <t xml:space="preserve">      4001.2 Court Omni Fees</t>
  </si>
  <si>
    <t xml:space="preserve">   Total 4000 Court Income</t>
  </si>
  <si>
    <t xml:space="preserve">   4100 Tax Income</t>
  </si>
  <si>
    <t xml:space="preserve">      4105 Ad Valorem Taxes</t>
  </si>
  <si>
    <t xml:space="preserve">      4110 State Sales Tax</t>
  </si>
  <si>
    <t xml:space="preserve">      4115 Telephone Line Tax</t>
  </si>
  <si>
    <t xml:space="preserve">      4150 Cable Franchise Tax</t>
  </si>
  <si>
    <t xml:space="preserve">      4160 AEP Company Tax</t>
  </si>
  <si>
    <t xml:space="preserve">   Total 4100 Tax Income</t>
  </si>
  <si>
    <t xml:space="preserve">   4200 Administrative Income</t>
  </si>
  <si>
    <t xml:space="preserve">      4215 Copying Fees</t>
  </si>
  <si>
    <t xml:space="preserve">      4220 Notary Fees</t>
  </si>
  <si>
    <t xml:space="preserve">      4225 Community Center Rental</t>
  </si>
  <si>
    <t xml:space="preserve">      4227 Dog Registrations</t>
  </si>
  <si>
    <t xml:space="preserve">      4230.1 Building Permits</t>
  </si>
  <si>
    <t xml:space="preserve">      4230.2 Other Permits</t>
  </si>
  <si>
    <t xml:space="preserve">      4240 Fax Machine Fees</t>
  </si>
  <si>
    <t xml:space="preserve">      4265 Miscellaneous Income</t>
  </si>
  <si>
    <t xml:space="preserve">      4275 Grant Income</t>
  </si>
  <si>
    <t xml:space="preserve">   Total 4200 Administrative Income</t>
  </si>
  <si>
    <t xml:space="preserve">   4400 Utility Income</t>
  </si>
  <si>
    <t xml:space="preserve">      4405 Garbage Sales</t>
  </si>
  <si>
    <t xml:space="preserve">         4405.1 Dumpster</t>
  </si>
  <si>
    <t xml:space="preserve">      Total 4405 Garbage Sales</t>
  </si>
  <si>
    <t xml:space="preserve">      4406 Gas Sales</t>
  </si>
  <si>
    <t xml:space="preserve">      4410 UT Transmission Fees</t>
  </si>
  <si>
    <t xml:space="preserve">      4411 Water Sales</t>
  </si>
  <si>
    <t xml:space="preserve">      4415 Sewer Sales</t>
  </si>
  <si>
    <t xml:space="preserve">      4435 Reconnection Fees</t>
  </si>
  <si>
    <t xml:space="preserve">      4445 Late Fees</t>
  </si>
  <si>
    <t xml:space="preserve">      4455 Tapping Fees</t>
  </si>
  <si>
    <t xml:space="preserve">      4495 Misc. Utility Income</t>
  </si>
  <si>
    <t xml:space="preserve">   Total 4400 Utility Income</t>
  </si>
  <si>
    <t>Total Income</t>
  </si>
  <si>
    <t>Cost of Goods Sold</t>
  </si>
  <si>
    <t xml:space="preserve">   5100 Utility Costs</t>
  </si>
  <si>
    <t xml:space="preserve">      5110 Garbage Service</t>
  </si>
  <si>
    <t xml:space="preserve">      5130 Gas Purchase</t>
  </si>
  <si>
    <t xml:space="preserve">      5135 Gas Maintenance</t>
  </si>
  <si>
    <t xml:space="preserve">      5140 Parts &amp; Supplies</t>
  </si>
  <si>
    <t xml:space="preserve">      5150 Gas Rectifier Electricity</t>
  </si>
  <si>
    <t xml:space="preserve">      5160 Sewer &amp; Water Analysis</t>
  </si>
  <si>
    <t xml:space="preserve">      5170 Sewer Maintenance</t>
  </si>
  <si>
    <t xml:space="preserve">      5180 Sewer Plant Electricity</t>
  </si>
  <si>
    <t xml:space="preserve">      5183 Water System Maintenance</t>
  </si>
  <si>
    <t xml:space="preserve">      5190 Water Wells Electricity</t>
  </si>
  <si>
    <t xml:space="preserve">      5195 Water Wells Maintenance</t>
  </si>
  <si>
    <t xml:space="preserve">   Total 5100 Utility Costs</t>
  </si>
  <si>
    <t>Total Cost of Goods Sold</t>
  </si>
  <si>
    <t>Gross Profit</t>
  </si>
  <si>
    <t>Expenses</t>
  </si>
  <si>
    <t xml:space="preserve">   6002 Court Costs</t>
  </si>
  <si>
    <t xml:space="preserve">      6002.1 Court Omni Expense</t>
  </si>
  <si>
    <t xml:space="preserve">      6002.2 Court Technology</t>
  </si>
  <si>
    <t xml:space="preserve">      6002.3 Collection Agency Fees</t>
  </si>
  <si>
    <t xml:space="preserve">      6002.4 State Comptroller Fees</t>
  </si>
  <si>
    <t xml:space="preserve">   Total 6002 Court Costs</t>
  </si>
  <si>
    <t xml:space="preserve">   6003 811 One Call System</t>
  </si>
  <si>
    <t xml:space="preserve">   6005 Alarm Expense</t>
  </si>
  <si>
    <t xml:space="preserve">   6015 Answering Service</t>
  </si>
  <si>
    <t xml:space="preserve">   6020 Bank Fees</t>
  </si>
  <si>
    <t xml:space="preserve">   6040 Copier</t>
  </si>
  <si>
    <t xml:space="preserve">   6050 Elections</t>
  </si>
  <si>
    <t xml:space="preserve">   6055 Electricity</t>
  </si>
  <si>
    <t xml:space="preserve">      6055.1 City Hall</t>
  </si>
  <si>
    <t xml:space="preserve">      6055.2 Community Center</t>
  </si>
  <si>
    <t xml:space="preserve">      6055.3 Maintenance Building</t>
  </si>
  <si>
    <t xml:space="preserve">      6055.4 Street Lights</t>
  </si>
  <si>
    <t xml:space="preserve">      6055.6 Sirens</t>
  </si>
  <si>
    <t xml:space="preserve">      6055.7 Baseball Field</t>
  </si>
  <si>
    <t xml:space="preserve">   Total 6055 Electricity</t>
  </si>
  <si>
    <t xml:space="preserve">   6059 Employee Licensing</t>
  </si>
  <si>
    <t xml:space="preserve">   6060 Employee Uniforms</t>
  </si>
  <si>
    <t xml:space="preserve">   6070 Equipment Rental</t>
  </si>
  <si>
    <t xml:space="preserve">   6075 Insurance Expense</t>
  </si>
  <si>
    <t xml:space="preserve">      6075.1 Automobile</t>
  </si>
  <si>
    <t xml:space="preserve">      6075.2 Bond</t>
  </si>
  <si>
    <t xml:space="preserve">      6075.3 Errors &amp; Omissions</t>
  </si>
  <si>
    <t xml:space="preserve">      6075.5 Liability</t>
  </si>
  <si>
    <t xml:space="preserve">      6075.6 Property</t>
  </si>
  <si>
    <t xml:space="preserve">      6075.7 Worker's Comp</t>
  </si>
  <si>
    <t xml:space="preserve">   Total 6075 Insurance Expense</t>
  </si>
  <si>
    <t xml:space="preserve">   6080 Internet</t>
  </si>
  <si>
    <t xml:space="preserve">   6085 Professional Fees</t>
  </si>
  <si>
    <t xml:space="preserve">      6085.1 Accounting/Audit</t>
  </si>
  <si>
    <t xml:space="preserve">      6085.2 Consultants &amp; Professionals</t>
  </si>
  <si>
    <t xml:space="preserve">      6085.3 Legal</t>
  </si>
  <si>
    <t xml:space="preserve">   Total 6085 Professional Fees</t>
  </si>
  <si>
    <t xml:space="preserve">   6090 Maintenance</t>
  </si>
  <si>
    <t xml:space="preserve">      6090.1 Building</t>
  </si>
  <si>
    <t xml:space="preserve">      6090.2 Equipment</t>
  </si>
  <si>
    <t xml:space="preserve">      6090.3 Grounds</t>
  </si>
  <si>
    <t xml:space="preserve">      6090.4 General</t>
  </si>
  <si>
    <t xml:space="preserve">      6090.5 Streets</t>
  </si>
  <si>
    <t xml:space="preserve">      6090.6 Park</t>
  </si>
  <si>
    <t xml:space="preserve">   Total 6090 Maintenance</t>
  </si>
  <si>
    <t xml:space="preserve">   6100 Meals Expense</t>
  </si>
  <si>
    <t xml:space="preserve">   6101 Mayor Expense</t>
  </si>
  <si>
    <t xml:space="preserve">   6105 Membership Fees</t>
  </si>
  <si>
    <t xml:space="preserve">   6110 Miscellaneous Expense</t>
  </si>
  <si>
    <t xml:space="preserve">   6115 Office Expense/Supplies</t>
  </si>
  <si>
    <t xml:space="preserve">   6120 Postage and Shipping</t>
  </si>
  <si>
    <t xml:space="preserve">   6130 Projects</t>
  </si>
  <si>
    <t xml:space="preserve">      6130.2 Grant Expense Water / Sewer</t>
  </si>
  <si>
    <t xml:space="preserve">   Total 6130 Projects</t>
  </si>
  <si>
    <t xml:space="preserve">   6145 Salaries &amp; Benefits</t>
  </si>
  <si>
    <t xml:space="preserve">      6145.1 Employee Wages</t>
  </si>
  <si>
    <t xml:space="preserve">      6145.2 Employee Insurance</t>
  </si>
  <si>
    <t xml:space="preserve">      6145.3 FICA Tax Expense</t>
  </si>
  <si>
    <t xml:space="preserve">      6145.4 SUTA Tax Expense</t>
  </si>
  <si>
    <t xml:space="preserve">      6145.6 Retirement Expense</t>
  </si>
  <si>
    <t xml:space="preserve">   Total 6145 Salaries &amp; Benefits</t>
  </si>
  <si>
    <t xml:space="preserve">   6150 SCAD Fees</t>
  </si>
  <si>
    <t xml:space="preserve">   6155 School Expense</t>
  </si>
  <si>
    <t xml:space="preserve">   6165 Street Repairs</t>
  </si>
  <si>
    <t xml:space="preserve">   6170 Tax Collection Fee</t>
  </si>
  <si>
    <t xml:space="preserve">   6175 Telephones</t>
  </si>
  <si>
    <t xml:space="preserve">   6180 Telephones (cellular)</t>
  </si>
  <si>
    <t xml:space="preserve">   6185 Travel Expense</t>
  </si>
  <si>
    <t xml:space="preserve">   6190 Vehicle Expense</t>
  </si>
  <si>
    <t xml:space="preserve">      6190.1 Fuel</t>
  </si>
  <si>
    <t xml:space="preserve">      6190.3 Maintenance</t>
  </si>
  <si>
    <t xml:space="preserve">      6190.4 Mileage</t>
  </si>
  <si>
    <t xml:space="preserve">   Total 6190 Vehicle Expense</t>
  </si>
  <si>
    <t xml:space="preserve">   Uncategorized Expense</t>
  </si>
  <si>
    <t>Total Expenses</t>
  </si>
  <si>
    <t>Net Operating Income</t>
  </si>
  <si>
    <t>Other Income</t>
  </si>
  <si>
    <t xml:space="preserve">   8000 Discounts Taken</t>
  </si>
  <si>
    <t xml:space="preserve">   8010 Gain/Loss on Sale of Assets</t>
  </si>
  <si>
    <t xml:space="preserve">   8020 Interest Income</t>
  </si>
  <si>
    <t>Total Other Income</t>
  </si>
  <si>
    <t>Other Expenses</t>
  </si>
  <si>
    <t xml:space="preserve">   9025 Bond Payments</t>
  </si>
  <si>
    <t xml:space="preserve">      9025.1 Water Tower Bond</t>
  </si>
  <si>
    <t xml:space="preserve">      9025.2 Water/Sewer Bond</t>
  </si>
  <si>
    <t xml:space="preserve">   Total 9025 Bond Payments</t>
  </si>
  <si>
    <t xml:space="preserve">   9030 Interest Expense</t>
  </si>
  <si>
    <t xml:space="preserve">      9030.1 Bond Interest</t>
  </si>
  <si>
    <t xml:space="preserve">      9030.2 Credit Card Interest</t>
  </si>
  <si>
    <t xml:space="preserve">      9030.3 Loan Interest</t>
  </si>
  <si>
    <t xml:space="preserve">   Total 9030 Interest Expense</t>
  </si>
  <si>
    <t xml:space="preserve">   9035 Late Fees</t>
  </si>
  <si>
    <t>Total Other Expenses</t>
  </si>
  <si>
    <t>Net Other Income</t>
  </si>
  <si>
    <t>Net Income</t>
  </si>
  <si>
    <t>Thursday, Jul 28, 2022 07:51:13 AM GMT-7 - Accrual Basis</t>
  </si>
  <si>
    <t>City of Winona, Texas</t>
  </si>
  <si>
    <t xml:space="preserve">      4230.1 Plan Review and Inspection Fees</t>
  </si>
  <si>
    <t xml:space="preserve">FY 2025/2026 Budget </t>
  </si>
  <si>
    <t>October 2025-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</si>
</sst>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9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0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0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0" fontId="2" fillId="0" borderId="3" xfId="0" applyNumberFormat="1" applyFont="1" applyBorder="1" applyAlignment="1">
      <alignment horizontal="right" wrapText="1"/>
    </xf>
    <xf numFmtId="0" fontId="2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right" wrapText="1"/>
    </xf>
    <xf numFmtId="10" fontId="3" fillId="2" borderId="0" xfId="0" applyNumberFormat="1" applyFont="1" applyFill="1" applyAlignment="1">
      <alignment horizontal="right" wrapText="1"/>
    </xf>
    <xf numFmtId="0" fontId="0" fillId="2" borderId="0" xfId="0" applyFill="1"/>
    <xf numFmtId="0" fontId="2" fillId="3" borderId="0" xfId="0" applyFont="1" applyFill="1" applyAlignment="1">
      <alignment horizontal="left" wrapText="1"/>
    </xf>
    <xf numFmtId="164" fontId="3" fillId="3" borderId="0" xfId="0" applyNumberFormat="1" applyFont="1" applyFill="1" applyAlignment="1">
      <alignment wrapText="1"/>
    </xf>
    <xf numFmtId="0" fontId="0" fillId="3" borderId="0" xfId="0" applyFill="1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164" fontId="5" fillId="2" borderId="0" xfId="0" applyNumberFormat="1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10" fontId="3" fillId="0" borderId="0" xfId="0" applyNumberFormat="1" applyFont="1" applyFill="1" applyAlignment="1">
      <alignment horizontal="right" wrapText="1"/>
    </xf>
    <xf numFmtId="0" fontId="0" fillId="0" borderId="0" xfId="0" applyFill="1"/>
    <xf numFmtId="165" fontId="2" fillId="0" borderId="2" xfId="0" applyNumberFormat="1" applyFont="1" applyFill="1" applyBorder="1" applyAlignment="1">
      <alignment horizontal="right" wrapText="1"/>
    </xf>
    <xf numFmtId="10" fontId="2" fillId="0" borderId="2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60"/>
  <sheetViews>
    <sheetView tabSelected="1" workbookViewId="0">
      <selection activeCell="G15" sqref="G15"/>
    </sheetView>
  </sheetViews>
  <sheetFormatPr defaultRowHeight="15" x14ac:dyDescent="0.25"/>
  <cols>
    <col min="1" max="1" width="35.28515625" customWidth="1"/>
    <col min="2" max="3" width="10.28515625" customWidth="1"/>
    <col min="4" max="4" width="11.140625" customWidth="1"/>
    <col min="5" max="5" width="7.7109375" customWidth="1"/>
    <col min="6" max="6" width="8.5703125" customWidth="1"/>
    <col min="7" max="8" width="10.28515625" customWidth="1"/>
    <col min="9" max="9" width="7.7109375" customWidth="1"/>
    <col min="10" max="11" width="10.42578125" bestFit="1" customWidth="1"/>
    <col min="12" max="12" width="11.140625" customWidth="1"/>
    <col min="13" max="13" width="7.7109375" customWidth="1"/>
    <col min="14" max="14" width="10.28515625" customWidth="1"/>
    <col min="15" max="15" width="11.7109375" bestFit="1" customWidth="1"/>
    <col min="16" max="16" width="12" customWidth="1"/>
    <col min="17" max="17" width="7.7109375" customWidth="1"/>
    <col min="18" max="18" width="8.5703125" customWidth="1"/>
    <col min="19" max="20" width="10.28515625" customWidth="1"/>
    <col min="21" max="21" width="7.7109375" customWidth="1"/>
    <col min="22" max="23" width="11.140625" customWidth="1"/>
    <col min="24" max="24" width="10.28515625" customWidth="1"/>
    <col min="25" max="25" width="7.7109375" customWidth="1"/>
    <col min="26" max="28" width="12" customWidth="1"/>
    <col min="29" max="29" width="7.7109375" customWidth="1"/>
    <col min="30" max="32" width="12" customWidth="1"/>
    <col min="33" max="33" width="10.28515625" customWidth="1"/>
  </cols>
  <sheetData>
    <row r="1" spans="1:33" ht="18" x14ac:dyDescent="0.25">
      <c r="A1" s="23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ht="18" x14ac:dyDescent="0.25">
      <c r="A2" s="34" t="s">
        <v>164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1:33" x14ac:dyDescent="0.25">
      <c r="A3" s="35" t="s">
        <v>165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5" spans="1:33" x14ac:dyDescent="0.25">
      <c r="A5" s="1"/>
      <c r="B5" s="19" t="s">
        <v>0</v>
      </c>
      <c r="C5" s="20"/>
      <c r="D5" s="20"/>
      <c r="E5" s="20"/>
      <c r="F5" s="19" t="s">
        <v>1</v>
      </c>
      <c r="G5" s="20"/>
      <c r="H5" s="20"/>
      <c r="I5" s="20"/>
      <c r="J5" s="19" t="s">
        <v>2</v>
      </c>
      <c r="K5" s="20"/>
      <c r="L5" s="20"/>
      <c r="M5" s="20"/>
      <c r="N5" s="19" t="s">
        <v>3</v>
      </c>
      <c r="O5" s="20"/>
      <c r="P5" s="20"/>
      <c r="Q5" s="20"/>
      <c r="R5" s="19" t="s">
        <v>4</v>
      </c>
      <c r="S5" s="20"/>
      <c r="T5" s="20"/>
      <c r="U5" s="20"/>
      <c r="V5" s="19" t="s">
        <v>5</v>
      </c>
      <c r="W5" s="20"/>
      <c r="X5" s="20"/>
      <c r="Y5" s="20"/>
      <c r="Z5" s="19" t="s">
        <v>6</v>
      </c>
      <c r="AA5" s="20"/>
      <c r="AB5" s="20"/>
      <c r="AC5" s="20"/>
      <c r="AD5" s="19" t="s">
        <v>7</v>
      </c>
      <c r="AE5" s="20"/>
      <c r="AF5" s="20"/>
      <c r="AG5" s="20"/>
    </row>
    <row r="6" spans="1:33" ht="24.75" x14ac:dyDescent="0.25">
      <c r="A6" s="1"/>
      <c r="B6" s="2" t="s">
        <v>8</v>
      </c>
      <c r="C6" s="2" t="s">
        <v>9</v>
      </c>
      <c r="D6" s="2" t="s">
        <v>10</v>
      </c>
      <c r="E6" s="2" t="s">
        <v>11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8</v>
      </c>
      <c r="O6" s="2" t="s">
        <v>9</v>
      </c>
      <c r="P6" s="2" t="s">
        <v>10</v>
      </c>
      <c r="Q6" s="2" t="s">
        <v>11</v>
      </c>
      <c r="R6" s="2" t="s">
        <v>8</v>
      </c>
      <c r="S6" s="2" t="s">
        <v>9</v>
      </c>
      <c r="T6" s="2" t="s">
        <v>10</v>
      </c>
      <c r="U6" s="2" t="s">
        <v>11</v>
      </c>
      <c r="V6" s="2" t="s">
        <v>8</v>
      </c>
      <c r="W6" s="2" t="s">
        <v>9</v>
      </c>
      <c r="X6" s="2" t="s">
        <v>10</v>
      </c>
      <c r="Y6" s="2" t="s">
        <v>11</v>
      </c>
      <c r="Z6" s="2" t="s">
        <v>8</v>
      </c>
      <c r="AA6" s="2" t="s">
        <v>9</v>
      </c>
      <c r="AB6" s="2" t="s">
        <v>10</v>
      </c>
      <c r="AC6" s="2" t="s">
        <v>11</v>
      </c>
      <c r="AD6" s="2" t="s">
        <v>8</v>
      </c>
      <c r="AE6" s="2" t="s">
        <v>9</v>
      </c>
      <c r="AF6" s="2" t="s">
        <v>10</v>
      </c>
      <c r="AG6" s="2" t="s">
        <v>11</v>
      </c>
    </row>
    <row r="7" spans="1:33" x14ac:dyDescent="0.25">
      <c r="A7" s="3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x14ac:dyDescent="0.25">
      <c r="A8" s="3" t="s">
        <v>13</v>
      </c>
      <c r="B8" s="4"/>
      <c r="C8" s="4"/>
      <c r="D8" s="5">
        <f t="shared" ref="D8:D44" si="0">(B8)-(C8)</f>
        <v>0</v>
      </c>
      <c r="E8" s="6" t="str">
        <f t="shared" ref="E8:E44" si="1">IF(C8=0,"",(B8)/(C8))</f>
        <v/>
      </c>
      <c r="F8" s="4"/>
      <c r="G8" s="4"/>
      <c r="H8" s="5">
        <f t="shared" ref="H8:H44" si="2">(F8)-(G8)</f>
        <v>0</v>
      </c>
      <c r="I8" s="6" t="str">
        <f t="shared" ref="I8:I44" si="3">IF(G8=0,"",(F8)/(G8))</f>
        <v/>
      </c>
      <c r="J8" s="4"/>
      <c r="K8" s="4"/>
      <c r="L8" s="5">
        <f t="shared" ref="L8:L44" si="4">(J8)-(K8)</f>
        <v>0</v>
      </c>
      <c r="M8" s="6" t="str">
        <f t="shared" ref="M8:M44" si="5">IF(K8=0,"",(J8)/(K8))</f>
        <v/>
      </c>
      <c r="N8" s="4"/>
      <c r="O8" s="4"/>
      <c r="P8" s="5">
        <f t="shared" ref="P8:P44" si="6">(N8)-(O8)</f>
        <v>0</v>
      </c>
      <c r="Q8" s="6" t="str">
        <f t="shared" ref="Q8:Q44" si="7">IF(O8=0,"",(N8)/(O8))</f>
        <v/>
      </c>
      <c r="R8" s="4"/>
      <c r="S8" s="4"/>
      <c r="T8" s="5">
        <f t="shared" ref="T8:T44" si="8">(R8)-(S8)</f>
        <v>0</v>
      </c>
      <c r="U8" s="6" t="str">
        <f t="shared" ref="U8:U44" si="9">IF(S8=0,"",(R8)/(S8))</f>
        <v/>
      </c>
      <c r="V8" s="4"/>
      <c r="W8" s="4"/>
      <c r="X8" s="5">
        <f t="shared" ref="X8:X44" si="10">(V8)-(W8)</f>
        <v>0</v>
      </c>
      <c r="Y8" s="6" t="str">
        <f t="shared" ref="Y8:Y44" si="11">IF(W8=0,"",(V8)/(W8))</f>
        <v/>
      </c>
      <c r="Z8" s="4"/>
      <c r="AA8" s="4"/>
      <c r="AB8" s="5">
        <f t="shared" ref="AB8:AB44" si="12">(Z8)-(AA8)</f>
        <v>0</v>
      </c>
      <c r="AC8" s="6" t="str">
        <f t="shared" ref="AC8:AC44" si="13">IF(AA8=0,"",(Z8)/(AA8))</f>
        <v/>
      </c>
      <c r="AD8" s="5">
        <f t="shared" ref="AD8:AD44" si="14">((((((B8)+(F8))+(J8))+(N8))+(R8))+(V8))+(Z8)</f>
        <v>0</v>
      </c>
      <c r="AE8" s="5">
        <f t="shared" ref="AE8:AE44" si="15">((((((C8)+(G8))+(K8))+(O8))+(S8))+(W8))+(AA8)</f>
        <v>0</v>
      </c>
      <c r="AF8" s="5">
        <f t="shared" ref="AF8:AF44" si="16">(AD8)-(AE8)</f>
        <v>0</v>
      </c>
      <c r="AG8" s="6" t="str">
        <f t="shared" ref="AG8:AG44" si="17">IF(AE8=0,"",(AD8)/(AE8))</f>
        <v/>
      </c>
    </row>
    <row r="9" spans="1:33" s="30" customFormat="1" x14ac:dyDescent="0.25">
      <c r="A9" s="26" t="s">
        <v>14</v>
      </c>
      <c r="B9" s="27"/>
      <c r="C9" s="27"/>
      <c r="D9" s="28">
        <f t="shared" si="0"/>
        <v>0</v>
      </c>
      <c r="E9" s="29" t="str">
        <f t="shared" si="1"/>
        <v/>
      </c>
      <c r="F9" s="28">
        <v>687</v>
      </c>
      <c r="G9" s="28">
        <v>2000</v>
      </c>
      <c r="H9" s="28">
        <f t="shared" si="2"/>
        <v>-1313</v>
      </c>
      <c r="I9" s="29">
        <f t="shared" si="3"/>
        <v>0.34350000000000003</v>
      </c>
      <c r="J9" s="27"/>
      <c r="K9" s="27"/>
      <c r="L9" s="28">
        <f t="shared" si="4"/>
        <v>0</v>
      </c>
      <c r="M9" s="29" t="str">
        <f t="shared" si="5"/>
        <v/>
      </c>
      <c r="N9" s="27"/>
      <c r="O9" s="27"/>
      <c r="P9" s="28">
        <f t="shared" si="6"/>
        <v>0</v>
      </c>
      <c r="Q9" s="29" t="str">
        <f t="shared" si="7"/>
        <v/>
      </c>
      <c r="R9" s="27"/>
      <c r="S9" s="27"/>
      <c r="T9" s="28">
        <f t="shared" si="8"/>
        <v>0</v>
      </c>
      <c r="U9" s="29" t="str">
        <f t="shared" si="9"/>
        <v/>
      </c>
      <c r="V9" s="27"/>
      <c r="W9" s="27"/>
      <c r="X9" s="28">
        <f t="shared" si="10"/>
        <v>0</v>
      </c>
      <c r="Y9" s="29" t="str">
        <f t="shared" si="11"/>
        <v/>
      </c>
      <c r="Z9" s="27"/>
      <c r="AA9" s="27"/>
      <c r="AB9" s="28">
        <f t="shared" si="12"/>
        <v>0</v>
      </c>
      <c r="AC9" s="29" t="str">
        <f t="shared" si="13"/>
        <v/>
      </c>
      <c r="AD9" s="28">
        <f t="shared" si="14"/>
        <v>687</v>
      </c>
      <c r="AE9" s="28">
        <f t="shared" si="15"/>
        <v>2000</v>
      </c>
      <c r="AF9" s="28">
        <f t="shared" si="16"/>
        <v>-1313</v>
      </c>
      <c r="AG9" s="29">
        <f t="shared" si="17"/>
        <v>0.34350000000000003</v>
      </c>
    </row>
    <row r="10" spans="1:33" s="30" customFormat="1" x14ac:dyDescent="0.25">
      <c r="A10" s="26" t="s">
        <v>15</v>
      </c>
      <c r="B10" s="27"/>
      <c r="C10" s="27"/>
      <c r="D10" s="28">
        <f t="shared" si="0"/>
        <v>0</v>
      </c>
      <c r="E10" s="29" t="str">
        <f t="shared" si="1"/>
        <v/>
      </c>
      <c r="F10" s="27">
        <v>20</v>
      </c>
      <c r="G10" s="28">
        <f>100</f>
        <v>100</v>
      </c>
      <c r="H10" s="28">
        <f t="shared" si="2"/>
        <v>-80</v>
      </c>
      <c r="I10" s="29">
        <f t="shared" si="3"/>
        <v>0.2</v>
      </c>
      <c r="J10" s="27"/>
      <c r="K10" s="27"/>
      <c r="L10" s="28">
        <f t="shared" si="4"/>
        <v>0</v>
      </c>
      <c r="M10" s="29" t="str">
        <f t="shared" si="5"/>
        <v/>
      </c>
      <c r="N10" s="27"/>
      <c r="O10" s="27"/>
      <c r="P10" s="28">
        <f t="shared" si="6"/>
        <v>0</v>
      </c>
      <c r="Q10" s="29" t="str">
        <f t="shared" si="7"/>
        <v/>
      </c>
      <c r="R10" s="27"/>
      <c r="S10" s="27"/>
      <c r="T10" s="28">
        <f t="shared" si="8"/>
        <v>0</v>
      </c>
      <c r="U10" s="29" t="str">
        <f t="shared" si="9"/>
        <v/>
      </c>
      <c r="V10" s="27"/>
      <c r="W10" s="27"/>
      <c r="X10" s="28">
        <f t="shared" si="10"/>
        <v>0</v>
      </c>
      <c r="Y10" s="29" t="str">
        <f t="shared" si="11"/>
        <v/>
      </c>
      <c r="Z10" s="27"/>
      <c r="AA10" s="27"/>
      <c r="AB10" s="28">
        <f t="shared" si="12"/>
        <v>0</v>
      </c>
      <c r="AC10" s="29" t="str">
        <f t="shared" si="13"/>
        <v/>
      </c>
      <c r="AD10" s="28">
        <f t="shared" si="14"/>
        <v>20</v>
      </c>
      <c r="AE10" s="28">
        <f t="shared" si="15"/>
        <v>100</v>
      </c>
      <c r="AF10" s="28">
        <f t="shared" si="16"/>
        <v>-80</v>
      </c>
      <c r="AG10" s="29">
        <f t="shared" si="17"/>
        <v>0.2</v>
      </c>
    </row>
    <row r="11" spans="1:33" s="30" customFormat="1" x14ac:dyDescent="0.25">
      <c r="A11" s="26" t="s">
        <v>16</v>
      </c>
      <c r="B11" s="31">
        <f>((B8)+(B9))+(B10)</f>
        <v>0</v>
      </c>
      <c r="C11" s="31">
        <f>((C8)+(C9))+(C10)</f>
        <v>0</v>
      </c>
      <c r="D11" s="31">
        <f t="shared" si="0"/>
        <v>0</v>
      </c>
      <c r="E11" s="32" t="str">
        <f t="shared" si="1"/>
        <v/>
      </c>
      <c r="F11" s="31">
        <f>((F8)+(F9))+(F10)</f>
        <v>707</v>
      </c>
      <c r="G11" s="31">
        <f>((G8)+(G9))+(G10)</f>
        <v>2100</v>
      </c>
      <c r="H11" s="31">
        <f t="shared" si="2"/>
        <v>-1393</v>
      </c>
      <c r="I11" s="32">
        <f t="shared" si="3"/>
        <v>0.33666666666666667</v>
      </c>
      <c r="J11" s="31">
        <f>((J8)+(J9))+(J10)</f>
        <v>0</v>
      </c>
      <c r="K11" s="31">
        <f>((K8)+(K9))+(K10)</f>
        <v>0</v>
      </c>
      <c r="L11" s="31">
        <f t="shared" si="4"/>
        <v>0</v>
      </c>
      <c r="M11" s="32" t="str">
        <f t="shared" si="5"/>
        <v/>
      </c>
      <c r="N11" s="31">
        <f>((N8)+(N9))+(N10)</f>
        <v>0</v>
      </c>
      <c r="O11" s="31">
        <f>((O8)+(O9))+(O10)</f>
        <v>0</v>
      </c>
      <c r="P11" s="31">
        <f t="shared" si="6"/>
        <v>0</v>
      </c>
      <c r="Q11" s="32" t="str">
        <f t="shared" si="7"/>
        <v/>
      </c>
      <c r="R11" s="31">
        <f>((R8)+(R9))+(R10)</f>
        <v>0</v>
      </c>
      <c r="S11" s="31">
        <f>((S8)+(S9))+(S10)</f>
        <v>0</v>
      </c>
      <c r="T11" s="31">
        <f t="shared" si="8"/>
        <v>0</v>
      </c>
      <c r="U11" s="32" t="str">
        <f t="shared" si="9"/>
        <v/>
      </c>
      <c r="V11" s="31">
        <f>((V8)+(V9))+(V10)</f>
        <v>0</v>
      </c>
      <c r="W11" s="31">
        <f>((W8)+(W9))+(W10)</f>
        <v>0</v>
      </c>
      <c r="X11" s="31">
        <f t="shared" si="10"/>
        <v>0</v>
      </c>
      <c r="Y11" s="32" t="str">
        <f t="shared" si="11"/>
        <v/>
      </c>
      <c r="Z11" s="31">
        <f>((Z8)+(Z9))+(Z10)</f>
        <v>0</v>
      </c>
      <c r="AA11" s="31">
        <f>((AA8)+(AA9))+(AA10)</f>
        <v>0</v>
      </c>
      <c r="AB11" s="31">
        <f t="shared" si="12"/>
        <v>0</v>
      </c>
      <c r="AC11" s="32" t="str">
        <f t="shared" si="13"/>
        <v/>
      </c>
      <c r="AD11" s="31">
        <f t="shared" si="14"/>
        <v>707</v>
      </c>
      <c r="AE11" s="31">
        <f t="shared" si="15"/>
        <v>2100</v>
      </c>
      <c r="AF11" s="31">
        <f t="shared" si="16"/>
        <v>-1393</v>
      </c>
      <c r="AG11" s="32">
        <f t="shared" si="17"/>
        <v>0.33666666666666667</v>
      </c>
    </row>
    <row r="12" spans="1:33" x14ac:dyDescent="0.25">
      <c r="A12" s="3" t="s">
        <v>17</v>
      </c>
      <c r="B12" s="4"/>
      <c r="C12" s="4"/>
      <c r="D12" s="5">
        <f t="shared" si="0"/>
        <v>0</v>
      </c>
      <c r="E12" s="6" t="str">
        <f t="shared" si="1"/>
        <v/>
      </c>
      <c r="F12" s="4"/>
      <c r="G12" s="4"/>
      <c r="H12" s="5">
        <f t="shared" si="2"/>
        <v>0</v>
      </c>
      <c r="I12" s="6" t="str">
        <f t="shared" si="3"/>
        <v/>
      </c>
      <c r="J12" s="4"/>
      <c r="K12" s="4"/>
      <c r="L12" s="5">
        <f t="shared" si="4"/>
        <v>0</v>
      </c>
      <c r="M12" s="6" t="str">
        <f t="shared" si="5"/>
        <v/>
      </c>
      <c r="N12" s="4"/>
      <c r="O12" s="4"/>
      <c r="P12" s="5">
        <f t="shared" si="6"/>
        <v>0</v>
      </c>
      <c r="Q12" s="6" t="str">
        <f t="shared" si="7"/>
        <v/>
      </c>
      <c r="R12" s="4"/>
      <c r="S12" s="4"/>
      <c r="T12" s="5">
        <f t="shared" si="8"/>
        <v>0</v>
      </c>
      <c r="U12" s="6" t="str">
        <f t="shared" si="9"/>
        <v/>
      </c>
      <c r="V12" s="4"/>
      <c r="W12" s="4"/>
      <c r="X12" s="5">
        <f t="shared" si="10"/>
        <v>0</v>
      </c>
      <c r="Y12" s="6" t="str">
        <f t="shared" si="11"/>
        <v/>
      </c>
      <c r="Z12" s="4"/>
      <c r="AA12" s="4"/>
      <c r="AB12" s="5">
        <f t="shared" si="12"/>
        <v>0</v>
      </c>
      <c r="AC12" s="6" t="str">
        <f t="shared" si="13"/>
        <v/>
      </c>
      <c r="AD12" s="5">
        <f t="shared" si="14"/>
        <v>0</v>
      </c>
      <c r="AE12" s="5">
        <f t="shared" si="15"/>
        <v>0</v>
      </c>
      <c r="AF12" s="5">
        <f t="shared" si="16"/>
        <v>0</v>
      </c>
      <c r="AG12" s="6" t="str">
        <f t="shared" si="17"/>
        <v/>
      </c>
    </row>
    <row r="13" spans="1:33" s="30" customFormat="1" x14ac:dyDescent="0.25">
      <c r="A13" s="26" t="s">
        <v>18</v>
      </c>
      <c r="B13" s="28">
        <v>217123.92</v>
      </c>
      <c r="C13" s="28">
        <v>183000</v>
      </c>
      <c r="D13" s="28">
        <f t="shared" si="0"/>
        <v>34123.920000000013</v>
      </c>
      <c r="E13" s="29">
        <f t="shared" si="1"/>
        <v>1.1864695081967214</v>
      </c>
      <c r="F13" s="27"/>
      <c r="G13" s="27"/>
      <c r="H13" s="28">
        <f t="shared" si="2"/>
        <v>0</v>
      </c>
      <c r="I13" s="29" t="str">
        <f t="shared" si="3"/>
        <v/>
      </c>
      <c r="J13" s="27"/>
      <c r="K13" s="27"/>
      <c r="L13" s="28">
        <f t="shared" si="4"/>
        <v>0</v>
      </c>
      <c r="M13" s="29" t="str">
        <f t="shared" si="5"/>
        <v/>
      </c>
      <c r="N13" s="27"/>
      <c r="O13" s="27"/>
      <c r="P13" s="28">
        <f t="shared" si="6"/>
        <v>0</v>
      </c>
      <c r="Q13" s="29" t="str">
        <f t="shared" si="7"/>
        <v/>
      </c>
      <c r="R13" s="27"/>
      <c r="S13" s="27"/>
      <c r="T13" s="28">
        <f t="shared" si="8"/>
        <v>0</v>
      </c>
      <c r="U13" s="29" t="str">
        <f t="shared" si="9"/>
        <v/>
      </c>
      <c r="V13" s="27"/>
      <c r="W13" s="27"/>
      <c r="X13" s="28">
        <f t="shared" si="10"/>
        <v>0</v>
      </c>
      <c r="Y13" s="29" t="str">
        <f t="shared" si="11"/>
        <v/>
      </c>
      <c r="Z13" s="27"/>
      <c r="AA13" s="27"/>
      <c r="AB13" s="28">
        <f t="shared" si="12"/>
        <v>0</v>
      </c>
      <c r="AC13" s="29" t="str">
        <f t="shared" si="13"/>
        <v/>
      </c>
      <c r="AD13" s="28">
        <f t="shared" si="14"/>
        <v>217123.92</v>
      </c>
      <c r="AE13" s="28">
        <f t="shared" si="15"/>
        <v>183000</v>
      </c>
      <c r="AF13" s="28">
        <f t="shared" si="16"/>
        <v>34123.920000000013</v>
      </c>
      <c r="AG13" s="29">
        <f t="shared" si="17"/>
        <v>1.1864695081967214</v>
      </c>
    </row>
    <row r="14" spans="1:33" s="30" customFormat="1" x14ac:dyDescent="0.25">
      <c r="A14" s="26" t="s">
        <v>19</v>
      </c>
      <c r="B14" s="28">
        <v>225264.92</v>
      </c>
      <c r="C14" s="28">
        <v>220000</v>
      </c>
      <c r="D14" s="28">
        <f t="shared" si="0"/>
        <v>5264.9200000000128</v>
      </c>
      <c r="E14" s="29">
        <f t="shared" si="1"/>
        <v>1.0239314545454545</v>
      </c>
      <c r="F14" s="27"/>
      <c r="G14" s="27"/>
      <c r="H14" s="28">
        <f t="shared" si="2"/>
        <v>0</v>
      </c>
      <c r="I14" s="29" t="str">
        <f t="shared" si="3"/>
        <v/>
      </c>
      <c r="J14" s="27"/>
      <c r="K14" s="27"/>
      <c r="L14" s="28">
        <f t="shared" si="4"/>
        <v>0</v>
      </c>
      <c r="M14" s="29" t="str">
        <f t="shared" si="5"/>
        <v/>
      </c>
      <c r="N14" s="27"/>
      <c r="O14" s="27"/>
      <c r="P14" s="28">
        <f t="shared" si="6"/>
        <v>0</v>
      </c>
      <c r="Q14" s="29" t="str">
        <f t="shared" si="7"/>
        <v/>
      </c>
      <c r="R14" s="27"/>
      <c r="S14" s="27"/>
      <c r="T14" s="28">
        <f t="shared" si="8"/>
        <v>0</v>
      </c>
      <c r="U14" s="29" t="str">
        <f t="shared" si="9"/>
        <v/>
      </c>
      <c r="V14" s="27"/>
      <c r="W14" s="27"/>
      <c r="X14" s="28">
        <f t="shared" si="10"/>
        <v>0</v>
      </c>
      <c r="Y14" s="29" t="str">
        <f t="shared" si="11"/>
        <v/>
      </c>
      <c r="Z14" s="27"/>
      <c r="AA14" s="27"/>
      <c r="AB14" s="28">
        <f t="shared" si="12"/>
        <v>0</v>
      </c>
      <c r="AC14" s="29" t="str">
        <f t="shared" si="13"/>
        <v/>
      </c>
      <c r="AD14" s="28">
        <f t="shared" si="14"/>
        <v>225264.92</v>
      </c>
      <c r="AE14" s="28">
        <f t="shared" si="15"/>
        <v>220000</v>
      </c>
      <c r="AF14" s="28">
        <f t="shared" si="16"/>
        <v>5264.9200000000128</v>
      </c>
      <c r="AG14" s="29">
        <f t="shared" si="17"/>
        <v>1.0239314545454545</v>
      </c>
    </row>
    <row r="15" spans="1:33" s="30" customFormat="1" x14ac:dyDescent="0.25">
      <c r="A15" s="26" t="s">
        <v>20</v>
      </c>
      <c r="B15" s="28">
        <v>562.17999999999995</v>
      </c>
      <c r="C15" s="28">
        <v>800</v>
      </c>
      <c r="D15" s="28">
        <f t="shared" si="0"/>
        <v>-237.82000000000005</v>
      </c>
      <c r="E15" s="29">
        <f t="shared" si="1"/>
        <v>0.70272499999999993</v>
      </c>
      <c r="F15" s="27"/>
      <c r="G15" s="27"/>
      <c r="H15" s="28">
        <f t="shared" si="2"/>
        <v>0</v>
      </c>
      <c r="I15" s="29" t="str">
        <f t="shared" si="3"/>
        <v/>
      </c>
      <c r="J15" s="27"/>
      <c r="K15" s="27"/>
      <c r="L15" s="28">
        <f t="shared" si="4"/>
        <v>0</v>
      </c>
      <c r="M15" s="29" t="str">
        <f t="shared" si="5"/>
        <v/>
      </c>
      <c r="N15" s="27"/>
      <c r="O15" s="27"/>
      <c r="P15" s="28">
        <f t="shared" si="6"/>
        <v>0</v>
      </c>
      <c r="Q15" s="29" t="str">
        <f t="shared" si="7"/>
        <v/>
      </c>
      <c r="R15" s="27"/>
      <c r="S15" s="27"/>
      <c r="T15" s="28">
        <f t="shared" si="8"/>
        <v>0</v>
      </c>
      <c r="U15" s="29" t="str">
        <f t="shared" si="9"/>
        <v/>
      </c>
      <c r="V15" s="27"/>
      <c r="W15" s="27"/>
      <c r="X15" s="28">
        <f t="shared" si="10"/>
        <v>0</v>
      </c>
      <c r="Y15" s="29" t="str">
        <f t="shared" si="11"/>
        <v/>
      </c>
      <c r="Z15" s="27"/>
      <c r="AA15" s="27"/>
      <c r="AB15" s="28">
        <f t="shared" si="12"/>
        <v>0</v>
      </c>
      <c r="AC15" s="29" t="str">
        <f t="shared" si="13"/>
        <v/>
      </c>
      <c r="AD15" s="28">
        <f t="shared" si="14"/>
        <v>562.17999999999995</v>
      </c>
      <c r="AE15" s="28">
        <f t="shared" si="15"/>
        <v>800</v>
      </c>
      <c r="AF15" s="28">
        <f t="shared" si="16"/>
        <v>-237.82000000000005</v>
      </c>
      <c r="AG15" s="29">
        <f t="shared" si="17"/>
        <v>0.70272499999999993</v>
      </c>
    </row>
    <row r="16" spans="1:33" s="30" customFormat="1" x14ac:dyDescent="0.25">
      <c r="A16" s="26" t="s">
        <v>21</v>
      </c>
      <c r="B16" s="28">
        <v>3802.81</v>
      </c>
      <c r="C16" s="28">
        <v>4000</v>
      </c>
      <c r="D16" s="28">
        <f t="shared" si="0"/>
        <v>-197.19000000000005</v>
      </c>
      <c r="E16" s="29">
        <f t="shared" si="1"/>
        <v>0.95070250000000001</v>
      </c>
      <c r="F16" s="27"/>
      <c r="G16" s="27"/>
      <c r="H16" s="28">
        <f t="shared" si="2"/>
        <v>0</v>
      </c>
      <c r="I16" s="29" t="str">
        <f t="shared" si="3"/>
        <v/>
      </c>
      <c r="J16" s="27"/>
      <c r="K16" s="27"/>
      <c r="L16" s="28">
        <f t="shared" si="4"/>
        <v>0</v>
      </c>
      <c r="M16" s="29" t="str">
        <f t="shared" si="5"/>
        <v/>
      </c>
      <c r="N16" s="27"/>
      <c r="O16" s="27"/>
      <c r="P16" s="28">
        <f t="shared" si="6"/>
        <v>0</v>
      </c>
      <c r="Q16" s="29" t="str">
        <f t="shared" si="7"/>
        <v/>
      </c>
      <c r="R16" s="27"/>
      <c r="S16" s="27"/>
      <c r="T16" s="28">
        <f t="shared" si="8"/>
        <v>0</v>
      </c>
      <c r="U16" s="29" t="str">
        <f t="shared" si="9"/>
        <v/>
      </c>
      <c r="V16" s="27"/>
      <c r="W16" s="27"/>
      <c r="X16" s="28">
        <f t="shared" si="10"/>
        <v>0</v>
      </c>
      <c r="Y16" s="29" t="str">
        <f t="shared" si="11"/>
        <v/>
      </c>
      <c r="Z16" s="27"/>
      <c r="AA16" s="27"/>
      <c r="AB16" s="28">
        <f t="shared" si="12"/>
        <v>0</v>
      </c>
      <c r="AC16" s="29" t="str">
        <f t="shared" si="13"/>
        <v/>
      </c>
      <c r="AD16" s="28">
        <f t="shared" si="14"/>
        <v>3802.81</v>
      </c>
      <c r="AE16" s="28">
        <f t="shared" si="15"/>
        <v>4000</v>
      </c>
      <c r="AF16" s="28">
        <f t="shared" si="16"/>
        <v>-197.19000000000005</v>
      </c>
      <c r="AG16" s="29">
        <f t="shared" si="17"/>
        <v>0.95070250000000001</v>
      </c>
    </row>
    <row r="17" spans="1:33" s="30" customFormat="1" x14ac:dyDescent="0.25">
      <c r="A17" s="26" t="s">
        <v>22</v>
      </c>
      <c r="B17" s="28">
        <v>10233.19</v>
      </c>
      <c r="C17" s="28">
        <v>10000</v>
      </c>
      <c r="D17" s="28">
        <f t="shared" si="0"/>
        <v>233.19000000000051</v>
      </c>
      <c r="E17" s="29">
        <f t="shared" si="1"/>
        <v>1.0233190000000001</v>
      </c>
      <c r="F17" s="27"/>
      <c r="G17" s="27"/>
      <c r="H17" s="28">
        <f t="shared" si="2"/>
        <v>0</v>
      </c>
      <c r="I17" s="29" t="str">
        <f t="shared" si="3"/>
        <v/>
      </c>
      <c r="J17" s="27"/>
      <c r="K17" s="27"/>
      <c r="L17" s="28">
        <f t="shared" si="4"/>
        <v>0</v>
      </c>
      <c r="M17" s="29" t="str">
        <f t="shared" si="5"/>
        <v/>
      </c>
      <c r="N17" s="27"/>
      <c r="O17" s="27"/>
      <c r="P17" s="28">
        <f t="shared" si="6"/>
        <v>0</v>
      </c>
      <c r="Q17" s="29" t="str">
        <f t="shared" si="7"/>
        <v/>
      </c>
      <c r="R17" s="27"/>
      <c r="S17" s="27"/>
      <c r="T17" s="28">
        <f t="shared" si="8"/>
        <v>0</v>
      </c>
      <c r="U17" s="29" t="str">
        <f t="shared" si="9"/>
        <v/>
      </c>
      <c r="V17" s="27"/>
      <c r="W17" s="27"/>
      <c r="X17" s="28">
        <f t="shared" si="10"/>
        <v>0</v>
      </c>
      <c r="Y17" s="29" t="str">
        <f t="shared" si="11"/>
        <v/>
      </c>
      <c r="Z17" s="27"/>
      <c r="AA17" s="27"/>
      <c r="AB17" s="28">
        <f t="shared" si="12"/>
        <v>0</v>
      </c>
      <c r="AC17" s="29" t="str">
        <f t="shared" si="13"/>
        <v/>
      </c>
      <c r="AD17" s="28">
        <f t="shared" si="14"/>
        <v>10233.19</v>
      </c>
      <c r="AE17" s="28">
        <f t="shared" si="15"/>
        <v>10000</v>
      </c>
      <c r="AF17" s="28">
        <f t="shared" si="16"/>
        <v>233.19000000000051</v>
      </c>
      <c r="AG17" s="29">
        <f t="shared" si="17"/>
        <v>1.0233190000000001</v>
      </c>
    </row>
    <row r="18" spans="1:33" x14ac:dyDescent="0.25">
      <c r="A18" s="3" t="s">
        <v>23</v>
      </c>
      <c r="B18" s="7">
        <f>(((((B12)+(B13))+(B14))+(B15))+(B16))+(B17)</f>
        <v>456987.02</v>
      </c>
      <c r="C18" s="7">
        <f>(((((C12)+(C13))+(C14))+(C15))+(C16))+(C17)</f>
        <v>417800</v>
      </c>
      <c r="D18" s="7">
        <f t="shared" si="0"/>
        <v>39187.020000000019</v>
      </c>
      <c r="E18" s="8">
        <f t="shared" si="1"/>
        <v>1.093793729056965</v>
      </c>
      <c r="F18" s="7">
        <f>(((((F12)+(F13))+(F14))+(F15))+(F16))+(F17)</f>
        <v>0</v>
      </c>
      <c r="G18" s="7">
        <f>(((((G12)+(G13))+(G14))+(G15))+(G16))+(G17)</f>
        <v>0</v>
      </c>
      <c r="H18" s="7">
        <f t="shared" si="2"/>
        <v>0</v>
      </c>
      <c r="I18" s="8" t="str">
        <f t="shared" si="3"/>
        <v/>
      </c>
      <c r="J18" s="7">
        <f>(((((J12)+(J13))+(J14))+(J15))+(J16))+(J17)</f>
        <v>0</v>
      </c>
      <c r="K18" s="7">
        <f>(((((K12)+(K13))+(K14))+(K15))+(K16))+(K17)</f>
        <v>0</v>
      </c>
      <c r="L18" s="7">
        <f t="shared" si="4"/>
        <v>0</v>
      </c>
      <c r="M18" s="8" t="str">
        <f t="shared" si="5"/>
        <v/>
      </c>
      <c r="N18" s="7">
        <f>(((((N12)+(N13))+(N14))+(N15))+(N16))+(N17)</f>
        <v>0</v>
      </c>
      <c r="O18" s="7">
        <f>(((((O12)+(O13))+(O14))+(O15))+(O16))+(O17)</f>
        <v>0</v>
      </c>
      <c r="P18" s="7">
        <f t="shared" si="6"/>
        <v>0</v>
      </c>
      <c r="Q18" s="8" t="str">
        <f t="shared" si="7"/>
        <v/>
      </c>
      <c r="R18" s="7">
        <f>(((((R12)+(R13))+(R14))+(R15))+(R16))+(R17)</f>
        <v>0</v>
      </c>
      <c r="S18" s="7">
        <f>(((((S12)+(S13))+(S14))+(S15))+(S16))+(S17)</f>
        <v>0</v>
      </c>
      <c r="T18" s="7">
        <f t="shared" si="8"/>
        <v>0</v>
      </c>
      <c r="U18" s="8" t="str">
        <f t="shared" si="9"/>
        <v/>
      </c>
      <c r="V18" s="7">
        <f>(((((V12)+(V13))+(V14))+(V15))+(V16))+(V17)</f>
        <v>0</v>
      </c>
      <c r="W18" s="7">
        <f>(((((W12)+(W13))+(W14))+(W15))+(W16))+(W17)</f>
        <v>0</v>
      </c>
      <c r="X18" s="7">
        <f t="shared" si="10"/>
        <v>0</v>
      </c>
      <c r="Y18" s="8" t="str">
        <f t="shared" si="11"/>
        <v/>
      </c>
      <c r="Z18" s="7">
        <f>(((((Z12)+(Z13))+(Z14))+(Z15))+(Z16))+(Z17)</f>
        <v>0</v>
      </c>
      <c r="AA18" s="7">
        <f>(((((AA12)+(AA13))+(AA14))+(AA15))+(AA16))+(AA17)</f>
        <v>0</v>
      </c>
      <c r="AB18" s="7">
        <f t="shared" si="12"/>
        <v>0</v>
      </c>
      <c r="AC18" s="8" t="str">
        <f t="shared" si="13"/>
        <v/>
      </c>
      <c r="AD18" s="7">
        <f t="shared" si="14"/>
        <v>456987.02</v>
      </c>
      <c r="AE18" s="7">
        <f t="shared" si="15"/>
        <v>417800</v>
      </c>
      <c r="AF18" s="7">
        <f t="shared" si="16"/>
        <v>39187.020000000019</v>
      </c>
      <c r="AG18" s="8">
        <f t="shared" si="17"/>
        <v>1.093793729056965</v>
      </c>
    </row>
    <row r="19" spans="1:33" x14ac:dyDescent="0.25">
      <c r="A19" s="3" t="s">
        <v>24</v>
      </c>
      <c r="B19" s="4"/>
      <c r="C19" s="4"/>
      <c r="D19" s="5">
        <f t="shared" si="0"/>
        <v>0</v>
      </c>
      <c r="E19" s="6" t="str">
        <f t="shared" si="1"/>
        <v/>
      </c>
      <c r="F19" s="4"/>
      <c r="G19" s="4"/>
      <c r="H19" s="5">
        <f t="shared" si="2"/>
        <v>0</v>
      </c>
      <c r="I19" s="6" t="str">
        <f t="shared" si="3"/>
        <v/>
      </c>
      <c r="J19" s="4"/>
      <c r="K19" s="4"/>
      <c r="L19" s="5">
        <f t="shared" si="4"/>
        <v>0</v>
      </c>
      <c r="M19" s="6" t="str">
        <f t="shared" si="5"/>
        <v/>
      </c>
      <c r="N19" s="4"/>
      <c r="O19" s="4"/>
      <c r="P19" s="5">
        <f t="shared" si="6"/>
        <v>0</v>
      </c>
      <c r="Q19" s="6" t="str">
        <f t="shared" si="7"/>
        <v/>
      </c>
      <c r="R19" s="4"/>
      <c r="S19" s="4"/>
      <c r="T19" s="5">
        <f t="shared" si="8"/>
        <v>0</v>
      </c>
      <c r="U19" s="6" t="str">
        <f t="shared" si="9"/>
        <v/>
      </c>
      <c r="V19" s="4"/>
      <c r="W19" s="4"/>
      <c r="X19" s="5">
        <f t="shared" si="10"/>
        <v>0</v>
      </c>
      <c r="Y19" s="6" t="str">
        <f t="shared" si="11"/>
        <v/>
      </c>
      <c r="Z19" s="4"/>
      <c r="AA19" s="4"/>
      <c r="AB19" s="5">
        <f t="shared" si="12"/>
        <v>0</v>
      </c>
      <c r="AC19" s="6" t="str">
        <f t="shared" si="13"/>
        <v/>
      </c>
      <c r="AD19" s="5">
        <f t="shared" si="14"/>
        <v>0</v>
      </c>
      <c r="AE19" s="5">
        <f t="shared" si="15"/>
        <v>0</v>
      </c>
      <c r="AF19" s="5">
        <f t="shared" si="16"/>
        <v>0</v>
      </c>
      <c r="AG19" s="6" t="str">
        <f t="shared" si="17"/>
        <v/>
      </c>
    </row>
    <row r="20" spans="1:33" s="30" customFormat="1" x14ac:dyDescent="0.25">
      <c r="A20" s="26" t="s">
        <v>25</v>
      </c>
      <c r="B20" s="28">
        <v>60.5</v>
      </c>
      <c r="C20" s="28">
        <v>50</v>
      </c>
      <c r="D20" s="28">
        <f t="shared" si="0"/>
        <v>10.5</v>
      </c>
      <c r="E20" s="29">
        <f t="shared" si="1"/>
        <v>1.21</v>
      </c>
      <c r="F20" s="27"/>
      <c r="G20" s="27"/>
      <c r="H20" s="28">
        <f t="shared" si="2"/>
        <v>0</v>
      </c>
      <c r="I20" s="29" t="str">
        <f t="shared" si="3"/>
        <v/>
      </c>
      <c r="J20" s="27"/>
      <c r="K20" s="27"/>
      <c r="L20" s="28">
        <f t="shared" si="4"/>
        <v>0</v>
      </c>
      <c r="M20" s="29" t="str">
        <f t="shared" si="5"/>
        <v/>
      </c>
      <c r="N20" s="27"/>
      <c r="O20" s="27"/>
      <c r="P20" s="28">
        <f t="shared" si="6"/>
        <v>0</v>
      </c>
      <c r="Q20" s="29" t="str">
        <f t="shared" si="7"/>
        <v/>
      </c>
      <c r="R20" s="27"/>
      <c r="S20" s="27"/>
      <c r="T20" s="28">
        <f t="shared" si="8"/>
        <v>0</v>
      </c>
      <c r="U20" s="29" t="str">
        <f t="shared" si="9"/>
        <v/>
      </c>
      <c r="V20" s="27"/>
      <c r="W20" s="27"/>
      <c r="X20" s="28">
        <f t="shared" si="10"/>
        <v>0</v>
      </c>
      <c r="Y20" s="29" t="str">
        <f t="shared" si="11"/>
        <v/>
      </c>
      <c r="Z20" s="27"/>
      <c r="AA20" s="27"/>
      <c r="AB20" s="28">
        <f t="shared" si="12"/>
        <v>0</v>
      </c>
      <c r="AC20" s="29" t="str">
        <f t="shared" si="13"/>
        <v/>
      </c>
      <c r="AD20" s="28">
        <f t="shared" si="14"/>
        <v>60.5</v>
      </c>
      <c r="AE20" s="28">
        <f t="shared" si="15"/>
        <v>50</v>
      </c>
      <c r="AF20" s="28">
        <f t="shared" si="16"/>
        <v>10.5</v>
      </c>
      <c r="AG20" s="29">
        <f t="shared" si="17"/>
        <v>1.21</v>
      </c>
    </row>
    <row r="21" spans="1:33" s="30" customFormat="1" x14ac:dyDescent="0.25">
      <c r="A21" s="26" t="s">
        <v>26</v>
      </c>
      <c r="B21" s="28">
        <v>275</v>
      </c>
      <c r="C21" s="28">
        <v>200</v>
      </c>
      <c r="D21" s="28">
        <f t="shared" si="0"/>
        <v>75</v>
      </c>
      <c r="E21" s="29">
        <f t="shared" si="1"/>
        <v>1.375</v>
      </c>
      <c r="F21" s="27"/>
      <c r="G21" s="27"/>
      <c r="H21" s="28">
        <f t="shared" si="2"/>
        <v>0</v>
      </c>
      <c r="I21" s="29" t="str">
        <f t="shared" si="3"/>
        <v/>
      </c>
      <c r="J21" s="27"/>
      <c r="K21" s="27"/>
      <c r="L21" s="28">
        <f t="shared" si="4"/>
        <v>0</v>
      </c>
      <c r="M21" s="29" t="str">
        <f t="shared" si="5"/>
        <v/>
      </c>
      <c r="N21" s="27"/>
      <c r="O21" s="27"/>
      <c r="P21" s="28">
        <f t="shared" si="6"/>
        <v>0</v>
      </c>
      <c r="Q21" s="29" t="str">
        <f t="shared" si="7"/>
        <v/>
      </c>
      <c r="R21" s="27"/>
      <c r="S21" s="27"/>
      <c r="T21" s="28">
        <f t="shared" si="8"/>
        <v>0</v>
      </c>
      <c r="U21" s="29" t="str">
        <f t="shared" si="9"/>
        <v/>
      </c>
      <c r="V21" s="27"/>
      <c r="W21" s="27"/>
      <c r="X21" s="28">
        <f t="shared" si="10"/>
        <v>0</v>
      </c>
      <c r="Y21" s="29" t="str">
        <f t="shared" si="11"/>
        <v/>
      </c>
      <c r="Z21" s="27"/>
      <c r="AA21" s="27"/>
      <c r="AB21" s="28">
        <f t="shared" si="12"/>
        <v>0</v>
      </c>
      <c r="AC21" s="29" t="str">
        <f t="shared" si="13"/>
        <v/>
      </c>
      <c r="AD21" s="28">
        <f t="shared" si="14"/>
        <v>275</v>
      </c>
      <c r="AE21" s="28">
        <f t="shared" si="15"/>
        <v>200</v>
      </c>
      <c r="AF21" s="28">
        <f t="shared" si="16"/>
        <v>75</v>
      </c>
      <c r="AG21" s="29">
        <f t="shared" si="17"/>
        <v>1.375</v>
      </c>
    </row>
    <row r="22" spans="1:33" s="30" customFormat="1" x14ac:dyDescent="0.25">
      <c r="A22" s="26" t="s">
        <v>27</v>
      </c>
      <c r="B22" s="27"/>
      <c r="C22" s="27"/>
      <c r="D22" s="28">
        <f t="shared" si="0"/>
        <v>0</v>
      </c>
      <c r="E22" s="29" t="str">
        <f t="shared" si="1"/>
        <v/>
      </c>
      <c r="F22" s="27"/>
      <c r="G22" s="27"/>
      <c r="H22" s="28">
        <f t="shared" si="2"/>
        <v>0</v>
      </c>
      <c r="I22" s="29" t="str">
        <f t="shared" si="3"/>
        <v/>
      </c>
      <c r="J22" s="27"/>
      <c r="K22" s="27"/>
      <c r="L22" s="28">
        <f t="shared" si="4"/>
        <v>0</v>
      </c>
      <c r="M22" s="29" t="str">
        <f t="shared" si="5"/>
        <v/>
      </c>
      <c r="N22" s="27"/>
      <c r="O22" s="27"/>
      <c r="P22" s="28">
        <f t="shared" si="6"/>
        <v>0</v>
      </c>
      <c r="Q22" s="29" t="str">
        <f t="shared" si="7"/>
        <v/>
      </c>
      <c r="R22" s="28">
        <v>2980</v>
      </c>
      <c r="S22" s="28">
        <v>3000</v>
      </c>
      <c r="T22" s="28">
        <f t="shared" si="8"/>
        <v>-20</v>
      </c>
      <c r="U22" s="29">
        <f t="shared" si="9"/>
        <v>0.99333333333333329</v>
      </c>
      <c r="V22" s="27"/>
      <c r="W22" s="27"/>
      <c r="X22" s="28">
        <f t="shared" si="10"/>
        <v>0</v>
      </c>
      <c r="Y22" s="29" t="str">
        <f t="shared" si="11"/>
        <v/>
      </c>
      <c r="Z22" s="28">
        <f>0</f>
        <v>0</v>
      </c>
      <c r="AA22" s="27"/>
      <c r="AB22" s="28">
        <f t="shared" si="12"/>
        <v>0</v>
      </c>
      <c r="AC22" s="29" t="str">
        <f t="shared" si="13"/>
        <v/>
      </c>
      <c r="AD22" s="28">
        <f t="shared" si="14"/>
        <v>2980</v>
      </c>
      <c r="AE22" s="28">
        <f t="shared" si="15"/>
        <v>3000</v>
      </c>
      <c r="AF22" s="28">
        <f t="shared" si="16"/>
        <v>-20</v>
      </c>
      <c r="AG22" s="29">
        <f t="shared" si="17"/>
        <v>0.99333333333333329</v>
      </c>
    </row>
    <row r="23" spans="1:33" s="30" customFormat="1" x14ac:dyDescent="0.25">
      <c r="A23" s="26" t="s">
        <v>28</v>
      </c>
      <c r="B23" s="27"/>
      <c r="C23" s="28">
        <v>10</v>
      </c>
      <c r="D23" s="28">
        <f t="shared" si="0"/>
        <v>-10</v>
      </c>
      <c r="E23" s="29">
        <f t="shared" si="1"/>
        <v>0</v>
      </c>
      <c r="F23" s="27"/>
      <c r="G23" s="27"/>
      <c r="H23" s="28">
        <f t="shared" si="2"/>
        <v>0</v>
      </c>
      <c r="I23" s="29" t="str">
        <f t="shared" si="3"/>
        <v/>
      </c>
      <c r="J23" s="27"/>
      <c r="K23" s="27"/>
      <c r="L23" s="28">
        <f t="shared" si="4"/>
        <v>0</v>
      </c>
      <c r="M23" s="29" t="str">
        <f t="shared" si="5"/>
        <v/>
      </c>
      <c r="N23" s="27"/>
      <c r="O23" s="27"/>
      <c r="P23" s="28">
        <f t="shared" si="6"/>
        <v>0</v>
      </c>
      <c r="Q23" s="29" t="str">
        <f t="shared" si="7"/>
        <v/>
      </c>
      <c r="R23" s="27"/>
      <c r="S23" s="27"/>
      <c r="T23" s="28">
        <f t="shared" si="8"/>
        <v>0</v>
      </c>
      <c r="U23" s="29" t="str">
        <f t="shared" si="9"/>
        <v/>
      </c>
      <c r="V23" s="27"/>
      <c r="W23" s="27"/>
      <c r="X23" s="28">
        <f t="shared" si="10"/>
        <v>0</v>
      </c>
      <c r="Y23" s="29" t="str">
        <f t="shared" si="11"/>
        <v/>
      </c>
      <c r="Z23" s="27"/>
      <c r="AA23" s="27"/>
      <c r="AB23" s="28">
        <f t="shared" si="12"/>
        <v>0</v>
      </c>
      <c r="AC23" s="29" t="str">
        <f t="shared" si="13"/>
        <v/>
      </c>
      <c r="AD23" s="28">
        <f t="shared" si="14"/>
        <v>0</v>
      </c>
      <c r="AE23" s="28">
        <f t="shared" si="15"/>
        <v>10</v>
      </c>
      <c r="AF23" s="28">
        <f t="shared" si="16"/>
        <v>-10</v>
      </c>
      <c r="AG23" s="29">
        <f t="shared" si="17"/>
        <v>0</v>
      </c>
    </row>
    <row r="24" spans="1:33" s="30" customFormat="1" x14ac:dyDescent="0.25">
      <c r="A24" s="26" t="s">
        <v>29</v>
      </c>
      <c r="B24" s="28">
        <v>0</v>
      </c>
      <c r="C24" s="28">
        <v>5000</v>
      </c>
      <c r="D24" s="28">
        <f t="shared" si="0"/>
        <v>-5000</v>
      </c>
      <c r="E24" s="29">
        <f t="shared" si="1"/>
        <v>0</v>
      </c>
      <c r="F24" s="27"/>
      <c r="G24" s="27"/>
      <c r="H24" s="28">
        <f t="shared" si="2"/>
        <v>0</v>
      </c>
      <c r="I24" s="29" t="str">
        <f t="shared" si="3"/>
        <v/>
      </c>
      <c r="J24" s="27"/>
      <c r="K24" s="27"/>
      <c r="L24" s="28">
        <f t="shared" si="4"/>
        <v>0</v>
      </c>
      <c r="M24" s="29" t="str">
        <f t="shared" si="5"/>
        <v/>
      </c>
      <c r="N24" s="27"/>
      <c r="O24" s="27"/>
      <c r="P24" s="28">
        <f t="shared" si="6"/>
        <v>0</v>
      </c>
      <c r="Q24" s="29" t="str">
        <f t="shared" si="7"/>
        <v/>
      </c>
      <c r="R24" s="27"/>
      <c r="S24" s="27"/>
      <c r="T24" s="28">
        <f t="shared" si="8"/>
        <v>0</v>
      </c>
      <c r="U24" s="29" t="str">
        <f t="shared" si="9"/>
        <v/>
      </c>
      <c r="V24" s="27"/>
      <c r="W24" s="27"/>
      <c r="X24" s="28">
        <f t="shared" si="10"/>
        <v>0</v>
      </c>
      <c r="Y24" s="29" t="str">
        <f t="shared" si="11"/>
        <v/>
      </c>
      <c r="Z24" s="27"/>
      <c r="AA24" s="27"/>
      <c r="AB24" s="28">
        <f t="shared" si="12"/>
        <v>0</v>
      </c>
      <c r="AC24" s="29" t="str">
        <f t="shared" si="13"/>
        <v/>
      </c>
      <c r="AD24" s="28">
        <f t="shared" si="14"/>
        <v>0</v>
      </c>
      <c r="AE24" s="28">
        <f t="shared" si="15"/>
        <v>5000</v>
      </c>
      <c r="AF24" s="28">
        <f t="shared" si="16"/>
        <v>-5000</v>
      </c>
      <c r="AG24" s="29">
        <f t="shared" si="17"/>
        <v>0</v>
      </c>
    </row>
    <row r="25" spans="1:33" s="30" customFormat="1" x14ac:dyDescent="0.25">
      <c r="A25" s="26" t="s">
        <v>163</v>
      </c>
      <c r="B25" s="28">
        <v>18773.669999999998</v>
      </c>
      <c r="C25" s="28">
        <v>29196</v>
      </c>
      <c r="D25" s="28">
        <f t="shared" ref="D25" si="18">(B25)-(C25)</f>
        <v>-10422.330000000002</v>
      </c>
      <c r="E25" s="29">
        <f t="shared" ref="E25" si="19">IF(C25=0,"",(B25)/(C25))</f>
        <v>0.64302198931360455</v>
      </c>
      <c r="F25" s="27"/>
      <c r="G25" s="27"/>
      <c r="H25" s="28">
        <f t="shared" ref="H25" si="20">(F25)-(G25)</f>
        <v>0</v>
      </c>
      <c r="I25" s="29" t="str">
        <f t="shared" ref="I25" si="21">IF(G25=0,"",(F25)/(G25))</f>
        <v/>
      </c>
      <c r="J25" s="27"/>
      <c r="K25" s="27"/>
      <c r="L25" s="28">
        <f t="shared" ref="L25" si="22">(J25)-(K25)</f>
        <v>0</v>
      </c>
      <c r="M25" s="29" t="str">
        <f t="shared" ref="M25" si="23">IF(K25=0,"",(J25)/(K25))</f>
        <v/>
      </c>
      <c r="N25" s="27"/>
      <c r="O25" s="27"/>
      <c r="P25" s="28">
        <f t="shared" ref="P25" si="24">(N25)-(O25)</f>
        <v>0</v>
      </c>
      <c r="Q25" s="29" t="str">
        <f t="shared" ref="Q25" si="25">IF(O25=0,"",(N25)/(O25))</f>
        <v/>
      </c>
      <c r="R25" s="27"/>
      <c r="S25" s="27"/>
      <c r="T25" s="28">
        <f t="shared" ref="T25" si="26">(R25)-(S25)</f>
        <v>0</v>
      </c>
      <c r="U25" s="29" t="str">
        <f t="shared" ref="U25" si="27">IF(S25=0,"",(R25)/(S25))</f>
        <v/>
      </c>
      <c r="V25" s="27"/>
      <c r="W25" s="27"/>
      <c r="X25" s="28">
        <f t="shared" ref="X25" si="28">(V25)-(W25)</f>
        <v>0</v>
      </c>
      <c r="Y25" s="29" t="str">
        <f t="shared" ref="Y25" si="29">IF(W25=0,"",(V25)/(W25))</f>
        <v/>
      </c>
      <c r="Z25" s="27"/>
      <c r="AA25" s="27"/>
      <c r="AB25" s="28">
        <f t="shared" ref="AB25" si="30">(Z25)-(AA25)</f>
        <v>0</v>
      </c>
      <c r="AC25" s="29" t="str">
        <f t="shared" ref="AC25" si="31">IF(AA25=0,"",(Z25)/(AA25))</f>
        <v/>
      </c>
      <c r="AD25" s="28">
        <f t="shared" ref="AD25" si="32">((((((B25)+(F25))+(J25))+(N25))+(R25))+(V25))+(Z25)</f>
        <v>18773.669999999998</v>
      </c>
      <c r="AE25" s="28">
        <f t="shared" ref="AE25" si="33">((((((C25)+(G25))+(K25))+(O25))+(S25))+(W25))+(AA25)</f>
        <v>29196</v>
      </c>
      <c r="AF25" s="28">
        <f t="shared" ref="AF25" si="34">(AD25)-(AE25)</f>
        <v>-10422.330000000002</v>
      </c>
      <c r="AG25" s="29">
        <f t="shared" ref="AG25" si="35">IF(AE25=0,"",(AD25)/(AE25))</f>
        <v>0.64302198931360455</v>
      </c>
    </row>
    <row r="26" spans="1:33" s="30" customFormat="1" x14ac:dyDescent="0.25">
      <c r="A26" s="26" t="s">
        <v>30</v>
      </c>
      <c r="B26" s="28">
        <f>55</f>
        <v>55</v>
      </c>
      <c r="C26" s="28">
        <v>75</v>
      </c>
      <c r="D26" s="28">
        <f t="shared" si="0"/>
        <v>-20</v>
      </c>
      <c r="E26" s="29">
        <f t="shared" si="1"/>
        <v>0.73333333333333328</v>
      </c>
      <c r="F26" s="27"/>
      <c r="G26" s="27"/>
      <c r="H26" s="28">
        <f t="shared" si="2"/>
        <v>0</v>
      </c>
      <c r="I26" s="29" t="str">
        <f t="shared" si="3"/>
        <v/>
      </c>
      <c r="J26" s="27"/>
      <c r="K26" s="27"/>
      <c r="L26" s="28">
        <f t="shared" si="4"/>
        <v>0</v>
      </c>
      <c r="M26" s="29" t="str">
        <f t="shared" si="5"/>
        <v/>
      </c>
      <c r="N26" s="27"/>
      <c r="O26" s="27"/>
      <c r="P26" s="28">
        <f t="shared" si="6"/>
        <v>0</v>
      </c>
      <c r="Q26" s="29" t="str">
        <f t="shared" si="7"/>
        <v/>
      </c>
      <c r="R26" s="27"/>
      <c r="S26" s="27"/>
      <c r="T26" s="28">
        <f t="shared" si="8"/>
        <v>0</v>
      </c>
      <c r="U26" s="29" t="str">
        <f t="shared" si="9"/>
        <v/>
      </c>
      <c r="V26" s="27"/>
      <c r="W26" s="27"/>
      <c r="X26" s="28">
        <f t="shared" si="10"/>
        <v>0</v>
      </c>
      <c r="Y26" s="29" t="str">
        <f t="shared" si="11"/>
        <v/>
      </c>
      <c r="Z26" s="27"/>
      <c r="AA26" s="27"/>
      <c r="AB26" s="28">
        <f t="shared" si="12"/>
        <v>0</v>
      </c>
      <c r="AC26" s="29" t="str">
        <f t="shared" si="13"/>
        <v/>
      </c>
      <c r="AD26" s="28">
        <f t="shared" si="14"/>
        <v>55</v>
      </c>
      <c r="AE26" s="28">
        <f t="shared" si="15"/>
        <v>75</v>
      </c>
      <c r="AF26" s="28">
        <f t="shared" si="16"/>
        <v>-20</v>
      </c>
      <c r="AG26" s="29">
        <f t="shared" si="17"/>
        <v>0.73333333333333328</v>
      </c>
    </row>
    <row r="27" spans="1:33" s="30" customFormat="1" x14ac:dyDescent="0.25">
      <c r="A27" s="26" t="s">
        <v>31</v>
      </c>
      <c r="B27" s="28">
        <f>37</f>
        <v>37</v>
      </c>
      <c r="C27" s="28">
        <v>40</v>
      </c>
      <c r="D27" s="28">
        <f t="shared" si="0"/>
        <v>-3</v>
      </c>
      <c r="E27" s="29">
        <f t="shared" si="1"/>
        <v>0.92500000000000004</v>
      </c>
      <c r="F27" s="27"/>
      <c r="G27" s="27"/>
      <c r="H27" s="28">
        <f t="shared" si="2"/>
        <v>0</v>
      </c>
      <c r="I27" s="29" t="str">
        <f t="shared" si="3"/>
        <v/>
      </c>
      <c r="J27" s="27"/>
      <c r="K27" s="27"/>
      <c r="L27" s="28">
        <f t="shared" si="4"/>
        <v>0</v>
      </c>
      <c r="M27" s="29" t="str">
        <f t="shared" si="5"/>
        <v/>
      </c>
      <c r="N27" s="27"/>
      <c r="O27" s="27"/>
      <c r="P27" s="28">
        <f t="shared" si="6"/>
        <v>0</v>
      </c>
      <c r="Q27" s="29" t="str">
        <f t="shared" si="7"/>
        <v/>
      </c>
      <c r="R27" s="27"/>
      <c r="S27" s="27"/>
      <c r="T27" s="28">
        <f t="shared" si="8"/>
        <v>0</v>
      </c>
      <c r="U27" s="29" t="str">
        <f t="shared" si="9"/>
        <v/>
      </c>
      <c r="V27" s="27"/>
      <c r="W27" s="27"/>
      <c r="X27" s="28">
        <f t="shared" si="10"/>
        <v>0</v>
      </c>
      <c r="Y27" s="29" t="str">
        <f t="shared" si="11"/>
        <v/>
      </c>
      <c r="Z27" s="27"/>
      <c r="AA27" s="27"/>
      <c r="AB27" s="28">
        <f t="shared" si="12"/>
        <v>0</v>
      </c>
      <c r="AC27" s="29" t="str">
        <f t="shared" si="13"/>
        <v/>
      </c>
      <c r="AD27" s="28">
        <f t="shared" si="14"/>
        <v>37</v>
      </c>
      <c r="AE27" s="28">
        <f t="shared" si="15"/>
        <v>40</v>
      </c>
      <c r="AF27" s="28">
        <f t="shared" si="16"/>
        <v>-3</v>
      </c>
      <c r="AG27" s="29">
        <f t="shared" si="17"/>
        <v>0.92500000000000004</v>
      </c>
    </row>
    <row r="28" spans="1:33" x14ac:dyDescent="0.25">
      <c r="A28" s="3" t="s">
        <v>32</v>
      </c>
      <c r="B28" s="5">
        <f>298.87</f>
        <v>298.87</v>
      </c>
      <c r="C28" s="5">
        <f>60</f>
        <v>60</v>
      </c>
      <c r="D28" s="5">
        <f t="shared" si="0"/>
        <v>238.87</v>
      </c>
      <c r="E28" s="6">
        <f t="shared" si="1"/>
        <v>4.9811666666666667</v>
      </c>
      <c r="F28" s="4"/>
      <c r="G28" s="4"/>
      <c r="H28" s="5">
        <f t="shared" si="2"/>
        <v>0</v>
      </c>
      <c r="I28" s="6" t="str">
        <f t="shared" si="3"/>
        <v/>
      </c>
      <c r="J28" s="4"/>
      <c r="K28" s="4"/>
      <c r="L28" s="5">
        <f t="shared" si="4"/>
        <v>0</v>
      </c>
      <c r="M28" s="6" t="str">
        <f t="shared" si="5"/>
        <v/>
      </c>
      <c r="N28" s="4"/>
      <c r="O28" s="4"/>
      <c r="P28" s="5">
        <f t="shared" si="6"/>
        <v>0</v>
      </c>
      <c r="Q28" s="6" t="str">
        <f t="shared" si="7"/>
        <v/>
      </c>
      <c r="R28" s="5">
        <f>370</f>
        <v>370</v>
      </c>
      <c r="S28" s="4"/>
      <c r="T28" s="5">
        <f t="shared" si="8"/>
        <v>370</v>
      </c>
      <c r="U28" s="6" t="str">
        <f t="shared" si="9"/>
        <v/>
      </c>
      <c r="V28" s="4"/>
      <c r="W28" s="4"/>
      <c r="X28" s="5">
        <f t="shared" si="10"/>
        <v>0</v>
      </c>
      <c r="Y28" s="6" t="str">
        <f t="shared" si="11"/>
        <v/>
      </c>
      <c r="Z28" s="5">
        <f>11600</f>
        <v>11600</v>
      </c>
      <c r="AA28" s="4"/>
      <c r="AB28" s="5">
        <f t="shared" si="12"/>
        <v>11600</v>
      </c>
      <c r="AC28" s="6" t="str">
        <f t="shared" si="13"/>
        <v/>
      </c>
      <c r="AD28" s="5">
        <f t="shared" si="14"/>
        <v>12268.87</v>
      </c>
      <c r="AE28" s="5">
        <f t="shared" si="15"/>
        <v>60</v>
      </c>
      <c r="AF28" s="5">
        <f t="shared" si="16"/>
        <v>12208.87</v>
      </c>
      <c r="AG28" s="6">
        <f t="shared" si="17"/>
        <v>204.48116666666667</v>
      </c>
    </row>
    <row r="29" spans="1:33" x14ac:dyDescent="0.25">
      <c r="A29" s="3" t="s">
        <v>33</v>
      </c>
      <c r="B29" s="4"/>
      <c r="C29" s="4"/>
      <c r="D29" s="5">
        <f t="shared" si="0"/>
        <v>0</v>
      </c>
      <c r="E29" s="6" t="str">
        <f t="shared" si="1"/>
        <v/>
      </c>
      <c r="F29" s="4"/>
      <c r="G29" s="4"/>
      <c r="H29" s="5">
        <f t="shared" si="2"/>
        <v>0</v>
      </c>
      <c r="I29" s="6" t="str">
        <f t="shared" si="3"/>
        <v/>
      </c>
      <c r="J29" s="4"/>
      <c r="K29" s="4"/>
      <c r="L29" s="5">
        <f t="shared" si="4"/>
        <v>0</v>
      </c>
      <c r="M29" s="6" t="str">
        <f t="shared" si="5"/>
        <v/>
      </c>
      <c r="N29" s="4"/>
      <c r="O29" s="4"/>
      <c r="P29" s="5">
        <f t="shared" si="6"/>
        <v>0</v>
      </c>
      <c r="Q29" s="6" t="str">
        <f t="shared" si="7"/>
        <v/>
      </c>
      <c r="R29" s="4"/>
      <c r="S29" s="4"/>
      <c r="T29" s="5">
        <f t="shared" si="8"/>
        <v>0</v>
      </c>
      <c r="U29" s="6" t="str">
        <f t="shared" si="9"/>
        <v/>
      </c>
      <c r="V29" s="4"/>
      <c r="W29" s="4"/>
      <c r="X29" s="5">
        <f t="shared" si="10"/>
        <v>0</v>
      </c>
      <c r="Y29" s="6" t="str">
        <f t="shared" si="11"/>
        <v/>
      </c>
      <c r="Z29" s="4"/>
      <c r="AA29" s="5">
        <f>75000</f>
        <v>75000</v>
      </c>
      <c r="AB29" s="5">
        <f t="shared" si="12"/>
        <v>-75000</v>
      </c>
      <c r="AC29" s="6">
        <f t="shared" si="13"/>
        <v>0</v>
      </c>
      <c r="AD29" s="5">
        <f t="shared" si="14"/>
        <v>0</v>
      </c>
      <c r="AE29" s="5">
        <f t="shared" si="15"/>
        <v>75000</v>
      </c>
      <c r="AF29" s="5">
        <f t="shared" si="16"/>
        <v>-75000</v>
      </c>
      <c r="AG29" s="6">
        <f t="shared" si="17"/>
        <v>0</v>
      </c>
    </row>
    <row r="30" spans="1:33" x14ac:dyDescent="0.25">
      <c r="A30" s="3" t="s">
        <v>34</v>
      </c>
      <c r="B30" s="7">
        <f>SUM(B20:B29)</f>
        <v>19500.039999999997</v>
      </c>
      <c r="C30" s="7">
        <f>SUM(C20:C29)</f>
        <v>34631</v>
      </c>
      <c r="D30" s="7">
        <f t="shared" si="0"/>
        <v>-15130.960000000003</v>
      </c>
      <c r="E30" s="8">
        <f t="shared" si="1"/>
        <v>0.56308047702925113</v>
      </c>
      <c r="F30" s="7">
        <f>(((((((((F19)+(F20))+(F21))+(F22))+(F23))+(F24))+(F26))+(F27))+(F28))+(F29)</f>
        <v>0</v>
      </c>
      <c r="G30" s="7">
        <f>(((((((((G19)+(G20))+(G21))+(G22))+(G23))+(G24))+(G26))+(G27))+(G28))+(G29)</f>
        <v>0</v>
      </c>
      <c r="H30" s="7">
        <f t="shared" si="2"/>
        <v>0</v>
      </c>
      <c r="I30" s="8" t="str">
        <f t="shared" si="3"/>
        <v/>
      </c>
      <c r="J30" s="7">
        <f>(((((((((J19)+(J20))+(J21))+(J22))+(J23))+(J24))+(J26))+(J27))+(J28))+(J29)</f>
        <v>0</v>
      </c>
      <c r="K30" s="7">
        <f>(((((((((K19)+(K20))+(K21))+(K22))+(K23))+(K24))+(K26))+(K27))+(K28))+(K29)</f>
        <v>0</v>
      </c>
      <c r="L30" s="7">
        <f t="shared" si="4"/>
        <v>0</v>
      </c>
      <c r="M30" s="8" t="str">
        <f t="shared" si="5"/>
        <v/>
      </c>
      <c r="N30" s="7">
        <f>(((((((((N19)+(N20))+(N21))+(N22))+(N23))+(N24))+(N26))+(N27))+(N28))+(N29)</f>
        <v>0</v>
      </c>
      <c r="O30" s="7">
        <f>(((((((((O19)+(O20))+(O21))+(O22))+(O23))+(O24))+(O26))+(O27))+(O28))+(O29)</f>
        <v>0</v>
      </c>
      <c r="P30" s="7">
        <f t="shared" si="6"/>
        <v>0</v>
      </c>
      <c r="Q30" s="8" t="str">
        <f t="shared" si="7"/>
        <v/>
      </c>
      <c r="R30" s="7">
        <f>(((((((((R19)+(R20))+(R21))+(R22))+(R23))+(R24))+(R26))+(R27))+(R28))+(R29)</f>
        <v>3350</v>
      </c>
      <c r="S30" s="7">
        <f>(((((((((S19)+(S20))+(S21))+(S22))+(S23))+(S24))+(S26))+(S27))+(S28))+(S29)</f>
        <v>3000</v>
      </c>
      <c r="T30" s="7">
        <f t="shared" si="8"/>
        <v>350</v>
      </c>
      <c r="U30" s="8">
        <f t="shared" si="9"/>
        <v>1.1166666666666667</v>
      </c>
      <c r="V30" s="7">
        <f>(((((((((V19)+(V20))+(V21))+(V22))+(V23))+(V24))+(V26))+(V27))+(V28))+(V29)</f>
        <v>0</v>
      </c>
      <c r="W30" s="7">
        <f>(((((((((W19)+(W20))+(W21))+(W22))+(W23))+(W24))+(W26))+(W27))+(W28))+(W29)</f>
        <v>0</v>
      </c>
      <c r="X30" s="7">
        <f t="shared" si="10"/>
        <v>0</v>
      </c>
      <c r="Y30" s="8" t="str">
        <f t="shared" si="11"/>
        <v/>
      </c>
      <c r="Z30" s="7">
        <f>(((((((((Z19)+(Z20))+(Z21))+(Z22))+(Z23))+(Z24))+(Z26))+(Z27))+(Z28))+(Z29)</f>
        <v>11600</v>
      </c>
      <c r="AA30" s="7">
        <f>(((((((((AA19)+(AA20))+(AA21))+(AA22))+(AA23))+(AA24))+(AA26))+(AA27))+(AA28))+(AA29)</f>
        <v>75000</v>
      </c>
      <c r="AB30" s="7">
        <f t="shared" si="12"/>
        <v>-63400</v>
      </c>
      <c r="AC30" s="8">
        <f t="shared" si="13"/>
        <v>0.15466666666666667</v>
      </c>
      <c r="AD30" s="7">
        <f t="shared" si="14"/>
        <v>34450.039999999994</v>
      </c>
      <c r="AE30" s="7">
        <f t="shared" si="15"/>
        <v>112631</v>
      </c>
      <c r="AF30" s="7">
        <f t="shared" si="16"/>
        <v>-78180.960000000006</v>
      </c>
      <c r="AG30" s="8">
        <f t="shared" si="17"/>
        <v>0.30586641333203107</v>
      </c>
    </row>
    <row r="31" spans="1:33" x14ac:dyDescent="0.25">
      <c r="A31" s="3" t="s">
        <v>35</v>
      </c>
      <c r="B31" s="4"/>
      <c r="C31" s="4"/>
      <c r="D31" s="5">
        <f t="shared" si="0"/>
        <v>0</v>
      </c>
      <c r="E31" s="6" t="str">
        <f t="shared" si="1"/>
        <v/>
      </c>
      <c r="F31" s="4"/>
      <c r="G31" s="4"/>
      <c r="H31" s="5">
        <f t="shared" si="2"/>
        <v>0</v>
      </c>
      <c r="I31" s="6" t="str">
        <f t="shared" si="3"/>
        <v/>
      </c>
      <c r="J31" s="4"/>
      <c r="K31" s="4"/>
      <c r="L31" s="5">
        <f t="shared" si="4"/>
        <v>0</v>
      </c>
      <c r="M31" s="6" t="str">
        <f t="shared" si="5"/>
        <v/>
      </c>
      <c r="N31" s="4"/>
      <c r="O31" s="4"/>
      <c r="P31" s="5">
        <f t="shared" si="6"/>
        <v>0</v>
      </c>
      <c r="Q31" s="6" t="str">
        <f t="shared" si="7"/>
        <v/>
      </c>
      <c r="R31" s="4"/>
      <c r="S31" s="4"/>
      <c r="T31" s="5">
        <f t="shared" si="8"/>
        <v>0</v>
      </c>
      <c r="U31" s="6" t="str">
        <f t="shared" si="9"/>
        <v/>
      </c>
      <c r="V31" s="4"/>
      <c r="W31" s="4"/>
      <c r="X31" s="5">
        <f t="shared" si="10"/>
        <v>0</v>
      </c>
      <c r="Y31" s="6" t="str">
        <f t="shared" si="11"/>
        <v/>
      </c>
      <c r="Z31" s="4"/>
      <c r="AA31" s="4"/>
      <c r="AB31" s="5">
        <f t="shared" si="12"/>
        <v>0</v>
      </c>
      <c r="AC31" s="6" t="str">
        <f t="shared" si="13"/>
        <v/>
      </c>
      <c r="AD31" s="5">
        <f t="shared" si="14"/>
        <v>0</v>
      </c>
      <c r="AE31" s="5">
        <f t="shared" si="15"/>
        <v>0</v>
      </c>
      <c r="AF31" s="5">
        <f t="shared" si="16"/>
        <v>0</v>
      </c>
      <c r="AG31" s="6" t="str">
        <f t="shared" si="17"/>
        <v/>
      </c>
    </row>
    <row r="32" spans="1:33" x14ac:dyDescent="0.25">
      <c r="A32" s="3" t="s">
        <v>36</v>
      </c>
      <c r="B32" s="4"/>
      <c r="C32" s="4"/>
      <c r="D32" s="5">
        <f t="shared" si="0"/>
        <v>0</v>
      </c>
      <c r="E32" s="6" t="str">
        <f t="shared" si="1"/>
        <v/>
      </c>
      <c r="F32" s="4"/>
      <c r="G32" s="4"/>
      <c r="H32" s="5">
        <f t="shared" si="2"/>
        <v>0</v>
      </c>
      <c r="I32" s="6" t="str">
        <f t="shared" si="3"/>
        <v/>
      </c>
      <c r="J32" s="5">
        <v>118370.98</v>
      </c>
      <c r="K32" s="5">
        <v>120000</v>
      </c>
      <c r="L32" s="5">
        <f t="shared" si="4"/>
        <v>-1629.0200000000041</v>
      </c>
      <c r="M32" s="6">
        <f t="shared" si="5"/>
        <v>0.98642483333333331</v>
      </c>
      <c r="N32" s="4"/>
      <c r="O32" s="4"/>
      <c r="P32" s="5">
        <f t="shared" si="6"/>
        <v>0</v>
      </c>
      <c r="Q32" s="6" t="str">
        <f t="shared" si="7"/>
        <v/>
      </c>
      <c r="R32" s="4"/>
      <c r="S32" s="4"/>
      <c r="T32" s="5">
        <f t="shared" si="8"/>
        <v>0</v>
      </c>
      <c r="U32" s="6" t="str">
        <f t="shared" si="9"/>
        <v/>
      </c>
      <c r="V32" s="4"/>
      <c r="W32" s="4"/>
      <c r="X32" s="5">
        <f t="shared" si="10"/>
        <v>0</v>
      </c>
      <c r="Y32" s="6" t="str">
        <f t="shared" si="11"/>
        <v/>
      </c>
      <c r="Z32" s="4"/>
      <c r="AA32" s="4"/>
      <c r="AB32" s="5">
        <f t="shared" si="12"/>
        <v>0</v>
      </c>
      <c r="AC32" s="6" t="str">
        <f t="shared" si="13"/>
        <v/>
      </c>
      <c r="AD32" s="5">
        <f t="shared" si="14"/>
        <v>118370.98</v>
      </c>
      <c r="AE32" s="5">
        <f t="shared" si="15"/>
        <v>120000</v>
      </c>
      <c r="AF32" s="5">
        <f t="shared" si="16"/>
        <v>-1629.0200000000041</v>
      </c>
      <c r="AG32" s="6">
        <f t="shared" si="17"/>
        <v>0.98642483333333331</v>
      </c>
    </row>
    <row r="33" spans="1:33" x14ac:dyDescent="0.25">
      <c r="A33" s="3" t="s">
        <v>37</v>
      </c>
      <c r="B33" s="5"/>
      <c r="C33" s="4"/>
      <c r="D33" s="5">
        <f t="shared" si="0"/>
        <v>0</v>
      </c>
      <c r="E33" s="6" t="str">
        <f t="shared" si="1"/>
        <v/>
      </c>
      <c r="F33" s="4"/>
      <c r="G33" s="4"/>
      <c r="H33" s="5">
        <f t="shared" si="2"/>
        <v>0</v>
      </c>
      <c r="I33" s="6" t="str">
        <f t="shared" si="3"/>
        <v/>
      </c>
      <c r="J33" s="5">
        <f>255.35</f>
        <v>255.35</v>
      </c>
      <c r="K33" s="5">
        <f>200</f>
        <v>200</v>
      </c>
      <c r="L33" s="5">
        <f t="shared" si="4"/>
        <v>55.349999999999994</v>
      </c>
      <c r="M33" s="6">
        <f t="shared" si="5"/>
        <v>1.2767500000000001</v>
      </c>
      <c r="N33" s="4"/>
      <c r="O33" s="4"/>
      <c r="P33" s="5">
        <f t="shared" si="6"/>
        <v>0</v>
      </c>
      <c r="Q33" s="6" t="str">
        <f t="shared" si="7"/>
        <v/>
      </c>
      <c r="R33" s="4"/>
      <c r="S33" s="4"/>
      <c r="T33" s="5">
        <f t="shared" si="8"/>
        <v>0</v>
      </c>
      <c r="U33" s="6" t="str">
        <f t="shared" si="9"/>
        <v/>
      </c>
      <c r="V33" s="4"/>
      <c r="W33" s="4"/>
      <c r="X33" s="5">
        <f t="shared" si="10"/>
        <v>0</v>
      </c>
      <c r="Y33" s="6" t="str">
        <f t="shared" si="11"/>
        <v/>
      </c>
      <c r="Z33" s="4"/>
      <c r="AA33" s="4"/>
      <c r="AB33" s="5">
        <f t="shared" si="12"/>
        <v>0</v>
      </c>
      <c r="AC33" s="6" t="str">
        <f t="shared" si="13"/>
        <v/>
      </c>
      <c r="AD33" s="5">
        <f t="shared" si="14"/>
        <v>255.35</v>
      </c>
      <c r="AE33" s="5">
        <f t="shared" si="15"/>
        <v>200</v>
      </c>
      <c r="AF33" s="5">
        <f t="shared" si="16"/>
        <v>55.349999999999994</v>
      </c>
      <c r="AG33" s="6">
        <f t="shared" si="17"/>
        <v>1.2767500000000001</v>
      </c>
    </row>
    <row r="34" spans="1:33" x14ac:dyDescent="0.25">
      <c r="A34" s="3" t="s">
        <v>38</v>
      </c>
      <c r="B34" s="7">
        <f>(B32)+(B33)</f>
        <v>0</v>
      </c>
      <c r="C34" s="7">
        <f>(C32)+(C33)</f>
        <v>0</v>
      </c>
      <c r="D34" s="7">
        <f t="shared" si="0"/>
        <v>0</v>
      </c>
      <c r="E34" s="8" t="str">
        <f t="shared" si="1"/>
        <v/>
      </c>
      <c r="F34" s="7">
        <f>(F32)+(F33)</f>
        <v>0</v>
      </c>
      <c r="G34" s="7">
        <f>(G32)+(G33)</f>
        <v>0</v>
      </c>
      <c r="H34" s="7">
        <f t="shared" si="2"/>
        <v>0</v>
      </c>
      <c r="I34" s="8" t="str">
        <f t="shared" si="3"/>
        <v/>
      </c>
      <c r="J34" s="7">
        <f>(J32)+(J33)</f>
        <v>118626.33</v>
      </c>
      <c r="K34" s="7">
        <f>(K32)+(K33)</f>
        <v>120200</v>
      </c>
      <c r="L34" s="7">
        <f t="shared" si="4"/>
        <v>-1573.6699999999983</v>
      </c>
      <c r="M34" s="8">
        <f t="shared" si="5"/>
        <v>0.98690790349417634</v>
      </c>
      <c r="N34" s="7">
        <f>(N32)+(N33)</f>
        <v>0</v>
      </c>
      <c r="O34" s="7">
        <f>(O32)+(O33)</f>
        <v>0</v>
      </c>
      <c r="P34" s="7">
        <f t="shared" si="6"/>
        <v>0</v>
      </c>
      <c r="Q34" s="8" t="str">
        <f t="shared" si="7"/>
        <v/>
      </c>
      <c r="R34" s="7">
        <f>(R32)+(R33)</f>
        <v>0</v>
      </c>
      <c r="S34" s="7">
        <f>(S32)+(S33)</f>
        <v>0</v>
      </c>
      <c r="T34" s="7">
        <f t="shared" si="8"/>
        <v>0</v>
      </c>
      <c r="U34" s="8" t="str">
        <f t="shared" si="9"/>
        <v/>
      </c>
      <c r="V34" s="7">
        <f>(V32)+(V33)</f>
        <v>0</v>
      </c>
      <c r="W34" s="7">
        <f>(W32)+(W33)</f>
        <v>0</v>
      </c>
      <c r="X34" s="7">
        <f t="shared" si="10"/>
        <v>0</v>
      </c>
      <c r="Y34" s="8" t="str">
        <f t="shared" si="11"/>
        <v/>
      </c>
      <c r="Z34" s="7">
        <f>(Z32)+(Z33)</f>
        <v>0</v>
      </c>
      <c r="AA34" s="7">
        <f>(AA32)+(AA33)</f>
        <v>0</v>
      </c>
      <c r="AB34" s="7">
        <f t="shared" si="12"/>
        <v>0</v>
      </c>
      <c r="AC34" s="8" t="str">
        <f t="shared" si="13"/>
        <v/>
      </c>
      <c r="AD34" s="7">
        <f t="shared" si="14"/>
        <v>118626.33</v>
      </c>
      <c r="AE34" s="7">
        <f t="shared" si="15"/>
        <v>120200</v>
      </c>
      <c r="AF34" s="7">
        <f t="shared" si="16"/>
        <v>-1573.6699999999983</v>
      </c>
      <c r="AG34" s="8">
        <f t="shared" si="17"/>
        <v>0.98690790349417634</v>
      </c>
    </row>
    <row r="35" spans="1:33" x14ac:dyDescent="0.25">
      <c r="A35" s="3" t="s">
        <v>39</v>
      </c>
      <c r="B35" s="4"/>
      <c r="C35" s="4"/>
      <c r="D35" s="5">
        <f t="shared" si="0"/>
        <v>0</v>
      </c>
      <c r="E35" s="6" t="str">
        <f t="shared" si="1"/>
        <v/>
      </c>
      <c r="F35" s="4"/>
      <c r="G35" s="4"/>
      <c r="H35" s="5">
        <f t="shared" si="2"/>
        <v>0</v>
      </c>
      <c r="I35" s="6" t="str">
        <f t="shared" si="3"/>
        <v/>
      </c>
      <c r="J35" s="4"/>
      <c r="K35" s="4"/>
      <c r="L35" s="5">
        <f t="shared" si="4"/>
        <v>0</v>
      </c>
      <c r="M35" s="6" t="str">
        <f t="shared" si="5"/>
        <v/>
      </c>
      <c r="N35" s="5">
        <v>781317.09</v>
      </c>
      <c r="O35" s="5">
        <v>800000</v>
      </c>
      <c r="P35" s="5">
        <f t="shared" si="6"/>
        <v>-18682.910000000033</v>
      </c>
      <c r="Q35" s="6">
        <f t="shared" si="7"/>
        <v>0.97664636249999992</v>
      </c>
      <c r="R35" s="4"/>
      <c r="S35" s="4"/>
      <c r="T35" s="5">
        <f t="shared" si="8"/>
        <v>0</v>
      </c>
      <c r="U35" s="6" t="str">
        <f t="shared" si="9"/>
        <v/>
      </c>
      <c r="V35" s="4"/>
      <c r="W35" s="4"/>
      <c r="X35" s="5">
        <f t="shared" si="10"/>
        <v>0</v>
      </c>
      <c r="Y35" s="6" t="str">
        <f t="shared" si="11"/>
        <v/>
      </c>
      <c r="Z35" s="4"/>
      <c r="AA35" s="4"/>
      <c r="AB35" s="5">
        <f t="shared" si="12"/>
        <v>0</v>
      </c>
      <c r="AC35" s="6" t="str">
        <f t="shared" si="13"/>
        <v/>
      </c>
      <c r="AD35" s="5">
        <f t="shared" si="14"/>
        <v>781317.09</v>
      </c>
      <c r="AE35" s="5">
        <f t="shared" si="15"/>
        <v>800000</v>
      </c>
      <c r="AF35" s="5">
        <f t="shared" si="16"/>
        <v>-18682.910000000033</v>
      </c>
      <c r="AG35" s="6">
        <f t="shared" si="17"/>
        <v>0.97664636249999992</v>
      </c>
    </row>
    <row r="36" spans="1:33" x14ac:dyDescent="0.25">
      <c r="A36" s="3" t="s">
        <v>40</v>
      </c>
      <c r="B36" s="4"/>
      <c r="C36" s="4"/>
      <c r="D36" s="5">
        <f t="shared" si="0"/>
        <v>0</v>
      </c>
      <c r="E36" s="6" t="str">
        <f t="shared" si="1"/>
        <v/>
      </c>
      <c r="F36" s="4"/>
      <c r="G36" s="4"/>
      <c r="H36" s="5">
        <f t="shared" si="2"/>
        <v>0</v>
      </c>
      <c r="I36" s="6" t="str">
        <f t="shared" si="3"/>
        <v/>
      </c>
      <c r="J36" s="4"/>
      <c r="K36" s="4"/>
      <c r="L36" s="5">
        <f t="shared" si="4"/>
        <v>0</v>
      </c>
      <c r="M36" s="6" t="str">
        <f t="shared" si="5"/>
        <v/>
      </c>
      <c r="N36" s="5">
        <v>78370</v>
      </c>
      <c r="O36" s="5">
        <v>80000</v>
      </c>
      <c r="P36" s="5">
        <f t="shared" si="6"/>
        <v>-1630</v>
      </c>
      <c r="Q36" s="6">
        <f t="shared" si="7"/>
        <v>0.97962499999999997</v>
      </c>
      <c r="R36" s="4"/>
      <c r="S36" s="4"/>
      <c r="T36" s="5">
        <f t="shared" si="8"/>
        <v>0</v>
      </c>
      <c r="U36" s="6" t="str">
        <f t="shared" si="9"/>
        <v/>
      </c>
      <c r="V36" s="4"/>
      <c r="W36" s="4"/>
      <c r="X36" s="5">
        <f t="shared" si="10"/>
        <v>0</v>
      </c>
      <c r="Y36" s="6" t="str">
        <f t="shared" si="11"/>
        <v/>
      </c>
      <c r="Z36" s="4"/>
      <c r="AA36" s="4"/>
      <c r="AB36" s="5">
        <f t="shared" si="12"/>
        <v>0</v>
      </c>
      <c r="AC36" s="6" t="str">
        <f t="shared" si="13"/>
        <v/>
      </c>
      <c r="AD36" s="5">
        <f t="shared" si="14"/>
        <v>78370</v>
      </c>
      <c r="AE36" s="5">
        <f t="shared" si="15"/>
        <v>80000</v>
      </c>
      <c r="AF36" s="5">
        <f t="shared" si="16"/>
        <v>-1630</v>
      </c>
      <c r="AG36" s="6">
        <f t="shared" si="17"/>
        <v>0.97962499999999997</v>
      </c>
    </row>
    <row r="37" spans="1:33" x14ac:dyDescent="0.25">
      <c r="A37" s="3" t="s">
        <v>41</v>
      </c>
      <c r="B37" s="4"/>
      <c r="C37" s="4"/>
      <c r="D37" s="5">
        <f t="shared" si="0"/>
        <v>0</v>
      </c>
      <c r="E37" s="6" t="str">
        <f t="shared" si="1"/>
        <v/>
      </c>
      <c r="F37" s="4"/>
      <c r="G37" s="4"/>
      <c r="H37" s="5">
        <f t="shared" si="2"/>
        <v>0</v>
      </c>
      <c r="I37" s="6" t="str">
        <f t="shared" si="3"/>
        <v/>
      </c>
      <c r="J37" s="4"/>
      <c r="K37" s="4"/>
      <c r="L37" s="5">
        <f t="shared" si="4"/>
        <v>0</v>
      </c>
      <c r="M37" s="6" t="str">
        <f t="shared" si="5"/>
        <v/>
      </c>
      <c r="N37" s="4"/>
      <c r="O37" s="4"/>
      <c r="P37" s="5">
        <f t="shared" si="6"/>
        <v>0</v>
      </c>
      <c r="Q37" s="6" t="str">
        <f t="shared" si="7"/>
        <v/>
      </c>
      <c r="R37" s="4"/>
      <c r="S37" s="4"/>
      <c r="T37" s="5">
        <f t="shared" si="8"/>
        <v>0</v>
      </c>
      <c r="U37" s="6" t="str">
        <f t="shared" si="9"/>
        <v/>
      </c>
      <c r="V37" s="4"/>
      <c r="W37" s="4"/>
      <c r="X37" s="5">
        <f t="shared" si="10"/>
        <v>0</v>
      </c>
      <c r="Y37" s="6" t="str">
        <f t="shared" si="11"/>
        <v/>
      </c>
      <c r="Z37" s="5">
        <v>270110.96999999997</v>
      </c>
      <c r="AA37" s="5">
        <v>325000</v>
      </c>
      <c r="AB37" s="5">
        <f t="shared" si="12"/>
        <v>-54889.030000000028</v>
      </c>
      <c r="AC37" s="6">
        <f t="shared" si="13"/>
        <v>0.83111067692307683</v>
      </c>
      <c r="AD37" s="5">
        <f t="shared" si="14"/>
        <v>270110.96999999997</v>
      </c>
      <c r="AE37" s="5">
        <f t="shared" si="15"/>
        <v>325000</v>
      </c>
      <c r="AF37" s="5">
        <f t="shared" si="16"/>
        <v>-54889.030000000028</v>
      </c>
      <c r="AG37" s="6">
        <f t="shared" si="17"/>
        <v>0.83111067692307683</v>
      </c>
    </row>
    <row r="38" spans="1:33" x14ac:dyDescent="0.25">
      <c r="A38" s="3" t="s">
        <v>42</v>
      </c>
      <c r="B38" s="4"/>
      <c r="C38" s="4"/>
      <c r="D38" s="5">
        <f t="shared" si="0"/>
        <v>0</v>
      </c>
      <c r="E38" s="6" t="str">
        <f t="shared" si="1"/>
        <v/>
      </c>
      <c r="F38" s="4"/>
      <c r="G38" s="4"/>
      <c r="H38" s="5">
        <f t="shared" si="2"/>
        <v>0</v>
      </c>
      <c r="I38" s="6" t="str">
        <f t="shared" si="3"/>
        <v/>
      </c>
      <c r="J38" s="4"/>
      <c r="K38" s="4"/>
      <c r="L38" s="5">
        <f t="shared" si="4"/>
        <v>0</v>
      </c>
      <c r="M38" s="6" t="str">
        <f t="shared" si="5"/>
        <v/>
      </c>
      <c r="N38" s="4"/>
      <c r="O38" s="4"/>
      <c r="P38" s="5">
        <f t="shared" si="6"/>
        <v>0</v>
      </c>
      <c r="Q38" s="6" t="str">
        <f t="shared" si="7"/>
        <v/>
      </c>
      <c r="R38" s="4"/>
      <c r="S38" s="4"/>
      <c r="T38" s="5">
        <f t="shared" si="8"/>
        <v>0</v>
      </c>
      <c r="U38" s="6" t="str">
        <f t="shared" si="9"/>
        <v/>
      </c>
      <c r="V38" s="4"/>
      <c r="W38" s="4"/>
      <c r="X38" s="5">
        <f t="shared" si="10"/>
        <v>0</v>
      </c>
      <c r="Y38" s="6" t="str">
        <f t="shared" si="11"/>
        <v/>
      </c>
      <c r="Z38" s="5">
        <v>202837.97</v>
      </c>
      <c r="AA38" s="5">
        <v>350000</v>
      </c>
      <c r="AB38" s="5">
        <f t="shared" si="12"/>
        <v>-147162.03</v>
      </c>
      <c r="AC38" s="6">
        <f t="shared" si="13"/>
        <v>0.57953705714285719</v>
      </c>
      <c r="AD38" s="5">
        <f t="shared" si="14"/>
        <v>202837.97</v>
      </c>
      <c r="AE38" s="5">
        <f t="shared" si="15"/>
        <v>350000</v>
      </c>
      <c r="AF38" s="5">
        <f t="shared" si="16"/>
        <v>-147162.03</v>
      </c>
      <c r="AG38" s="6">
        <f t="shared" si="17"/>
        <v>0.57953705714285719</v>
      </c>
    </row>
    <row r="39" spans="1:33" x14ac:dyDescent="0.25">
      <c r="A39" s="3" t="s">
        <v>43</v>
      </c>
      <c r="B39" s="4"/>
      <c r="C39" s="4"/>
      <c r="D39" s="5">
        <f t="shared" si="0"/>
        <v>0</v>
      </c>
      <c r="E39" s="6" t="str">
        <f t="shared" si="1"/>
        <v/>
      </c>
      <c r="F39" s="4"/>
      <c r="G39" s="4"/>
      <c r="H39" s="5">
        <f t="shared" si="2"/>
        <v>0</v>
      </c>
      <c r="I39" s="6" t="str">
        <f t="shared" si="3"/>
        <v/>
      </c>
      <c r="J39" s="4"/>
      <c r="K39" s="4"/>
      <c r="L39" s="5">
        <f t="shared" si="4"/>
        <v>0</v>
      </c>
      <c r="M39" s="6" t="str">
        <f t="shared" si="5"/>
        <v/>
      </c>
      <c r="N39" s="5">
        <f>900</f>
        <v>900</v>
      </c>
      <c r="O39" s="5">
        <v>1500</v>
      </c>
      <c r="P39" s="5">
        <f t="shared" si="6"/>
        <v>-600</v>
      </c>
      <c r="Q39" s="6">
        <f t="shared" si="7"/>
        <v>0.6</v>
      </c>
      <c r="R39" s="4"/>
      <c r="S39" s="4"/>
      <c r="T39" s="5">
        <f t="shared" si="8"/>
        <v>0</v>
      </c>
      <c r="U39" s="6" t="str">
        <f t="shared" si="9"/>
        <v/>
      </c>
      <c r="V39" s="4"/>
      <c r="W39" s="4"/>
      <c r="X39" s="5">
        <f t="shared" si="10"/>
        <v>0</v>
      </c>
      <c r="Y39" s="6" t="str">
        <f t="shared" si="11"/>
        <v/>
      </c>
      <c r="Z39" s="5">
        <f>722.39</f>
        <v>722.39</v>
      </c>
      <c r="AA39" s="5">
        <v>1500</v>
      </c>
      <c r="AB39" s="5">
        <f t="shared" si="12"/>
        <v>-777.61</v>
      </c>
      <c r="AC39" s="6">
        <f t="shared" si="13"/>
        <v>0.48159333333333332</v>
      </c>
      <c r="AD39" s="5">
        <f t="shared" si="14"/>
        <v>1622.3899999999999</v>
      </c>
      <c r="AE39" s="5">
        <f t="shared" si="15"/>
        <v>3000</v>
      </c>
      <c r="AF39" s="5">
        <f t="shared" si="16"/>
        <v>-1377.6100000000001</v>
      </c>
      <c r="AG39" s="6">
        <f t="shared" si="17"/>
        <v>0.54079666666666659</v>
      </c>
    </row>
    <row r="40" spans="1:33" x14ac:dyDescent="0.25">
      <c r="A40" s="3" t="s">
        <v>44</v>
      </c>
      <c r="B40" s="4"/>
      <c r="C40" s="4"/>
      <c r="D40" s="5">
        <f t="shared" si="0"/>
        <v>0</v>
      </c>
      <c r="E40" s="6" t="str">
        <f t="shared" si="1"/>
        <v/>
      </c>
      <c r="F40" s="4"/>
      <c r="G40" s="4"/>
      <c r="H40" s="5">
        <f t="shared" si="2"/>
        <v>0</v>
      </c>
      <c r="I40" s="6" t="str">
        <f t="shared" si="3"/>
        <v/>
      </c>
      <c r="J40" s="4"/>
      <c r="K40" s="4"/>
      <c r="L40" s="5">
        <f t="shared" si="4"/>
        <v>0</v>
      </c>
      <c r="M40" s="6" t="str">
        <f t="shared" si="5"/>
        <v/>
      </c>
      <c r="N40" s="5">
        <f>4488.53</f>
        <v>4488.53</v>
      </c>
      <c r="O40" s="5">
        <v>5000</v>
      </c>
      <c r="P40" s="5">
        <f t="shared" si="6"/>
        <v>-511.47000000000025</v>
      </c>
      <c r="Q40" s="6">
        <f t="shared" si="7"/>
        <v>0.897706</v>
      </c>
      <c r="R40" s="4"/>
      <c r="S40" s="4"/>
      <c r="T40" s="5">
        <f t="shared" si="8"/>
        <v>0</v>
      </c>
      <c r="U40" s="6" t="str">
        <f t="shared" si="9"/>
        <v/>
      </c>
      <c r="V40" s="4"/>
      <c r="W40" s="4"/>
      <c r="X40" s="5">
        <f t="shared" si="10"/>
        <v>0</v>
      </c>
      <c r="Y40" s="6" t="str">
        <f t="shared" si="11"/>
        <v/>
      </c>
      <c r="Z40" s="5">
        <f>4875.48</f>
        <v>4875.4799999999996</v>
      </c>
      <c r="AA40" s="5">
        <v>5000</v>
      </c>
      <c r="AB40" s="5">
        <f t="shared" si="12"/>
        <v>-124.52000000000044</v>
      </c>
      <c r="AC40" s="6">
        <f t="shared" si="13"/>
        <v>0.97509599999999996</v>
      </c>
      <c r="AD40" s="5">
        <f t="shared" si="14"/>
        <v>9364.0099999999984</v>
      </c>
      <c r="AE40" s="5">
        <f t="shared" si="15"/>
        <v>10000</v>
      </c>
      <c r="AF40" s="5">
        <f t="shared" si="16"/>
        <v>-635.9900000000016</v>
      </c>
      <c r="AG40" s="6">
        <f t="shared" si="17"/>
        <v>0.93640099999999982</v>
      </c>
    </row>
    <row r="41" spans="1:33" x14ac:dyDescent="0.25">
      <c r="A41" s="3" t="s">
        <v>45</v>
      </c>
      <c r="B41" s="4"/>
      <c r="C41" s="4"/>
      <c r="D41" s="5">
        <f t="shared" si="0"/>
        <v>0</v>
      </c>
      <c r="E41" s="6" t="str">
        <f t="shared" si="1"/>
        <v/>
      </c>
      <c r="F41" s="4"/>
      <c r="G41" s="4"/>
      <c r="H41" s="5">
        <f t="shared" si="2"/>
        <v>0</v>
      </c>
      <c r="I41" s="6" t="str">
        <f t="shared" si="3"/>
        <v/>
      </c>
      <c r="J41" s="4"/>
      <c r="K41" s="4"/>
      <c r="L41" s="5">
        <f t="shared" si="4"/>
        <v>0</v>
      </c>
      <c r="M41" s="6" t="str">
        <f t="shared" si="5"/>
        <v/>
      </c>
      <c r="N41" s="5">
        <v>30807.53</v>
      </c>
      <c r="O41" s="5">
        <v>25000</v>
      </c>
      <c r="P41" s="5">
        <f t="shared" si="6"/>
        <v>5807.5299999999988</v>
      </c>
      <c r="Q41" s="6">
        <f t="shared" si="7"/>
        <v>1.2323012</v>
      </c>
      <c r="R41" s="4"/>
      <c r="S41" s="4"/>
      <c r="T41" s="5">
        <f t="shared" si="8"/>
        <v>0</v>
      </c>
      <c r="U41" s="6" t="str">
        <f t="shared" si="9"/>
        <v/>
      </c>
      <c r="V41" s="4"/>
      <c r="W41" s="4"/>
      <c r="X41" s="5">
        <f t="shared" si="10"/>
        <v>0</v>
      </c>
      <c r="Y41" s="6" t="str">
        <f t="shared" si="11"/>
        <v/>
      </c>
      <c r="Z41" s="5">
        <v>30807.53</v>
      </c>
      <c r="AA41" s="5">
        <v>25000</v>
      </c>
      <c r="AB41" s="5">
        <f t="shared" si="12"/>
        <v>5807.5299999999988</v>
      </c>
      <c r="AC41" s="6">
        <f t="shared" si="13"/>
        <v>1.2323012</v>
      </c>
      <c r="AD41" s="5">
        <f t="shared" si="14"/>
        <v>61615.06</v>
      </c>
      <c r="AE41" s="5">
        <f t="shared" si="15"/>
        <v>50000</v>
      </c>
      <c r="AF41" s="5">
        <f t="shared" si="16"/>
        <v>11615.059999999998</v>
      </c>
      <c r="AG41" s="6">
        <f t="shared" si="17"/>
        <v>1.2323012</v>
      </c>
    </row>
    <row r="42" spans="1:33" x14ac:dyDescent="0.25">
      <c r="A42" s="3" t="s">
        <v>46</v>
      </c>
      <c r="B42" s="4"/>
      <c r="C42" s="4"/>
      <c r="D42" s="5">
        <f t="shared" si="0"/>
        <v>0</v>
      </c>
      <c r="E42" s="6" t="str">
        <f t="shared" si="1"/>
        <v/>
      </c>
      <c r="F42" s="4"/>
      <c r="G42" s="4"/>
      <c r="H42" s="5">
        <f t="shared" si="2"/>
        <v>0</v>
      </c>
      <c r="I42" s="6" t="str">
        <f t="shared" si="3"/>
        <v/>
      </c>
      <c r="J42" s="4"/>
      <c r="K42" s="4"/>
      <c r="L42" s="5">
        <f t="shared" si="4"/>
        <v>0</v>
      </c>
      <c r="M42" s="6" t="str">
        <f t="shared" si="5"/>
        <v/>
      </c>
      <c r="N42" s="4"/>
      <c r="O42" s="5">
        <f>500</f>
        <v>500</v>
      </c>
      <c r="P42" s="5">
        <f t="shared" si="6"/>
        <v>-500</v>
      </c>
      <c r="Q42" s="6">
        <f t="shared" si="7"/>
        <v>0</v>
      </c>
      <c r="R42" s="4"/>
      <c r="S42" s="4"/>
      <c r="T42" s="5">
        <f t="shared" si="8"/>
        <v>0</v>
      </c>
      <c r="U42" s="6" t="str">
        <f t="shared" si="9"/>
        <v/>
      </c>
      <c r="V42" s="4"/>
      <c r="W42" s="4"/>
      <c r="X42" s="5">
        <f t="shared" si="10"/>
        <v>0</v>
      </c>
      <c r="Y42" s="6" t="str">
        <f t="shared" si="11"/>
        <v/>
      </c>
      <c r="Z42" s="5">
        <f>25.2</f>
        <v>25.2</v>
      </c>
      <c r="AA42" s="5">
        <f>200</f>
        <v>200</v>
      </c>
      <c r="AB42" s="5">
        <f t="shared" si="12"/>
        <v>-174.8</v>
      </c>
      <c r="AC42" s="6">
        <f t="shared" si="13"/>
        <v>0.126</v>
      </c>
      <c r="AD42" s="5">
        <f t="shared" si="14"/>
        <v>25.2</v>
      </c>
      <c r="AE42" s="5">
        <f t="shared" si="15"/>
        <v>700</v>
      </c>
      <c r="AF42" s="5">
        <f t="shared" si="16"/>
        <v>-674.8</v>
      </c>
      <c r="AG42" s="6">
        <f t="shared" si="17"/>
        <v>3.5999999999999997E-2</v>
      </c>
    </row>
    <row r="43" spans="1:33" x14ac:dyDescent="0.25">
      <c r="A43" s="3" t="s">
        <v>47</v>
      </c>
      <c r="B43" s="7">
        <f>(((((((((B31)+(B34))+(B35))+(B36))+(B37))+(B38))+(B39))+(B40))+(B41))+(B42)</f>
        <v>0</v>
      </c>
      <c r="C43" s="7">
        <f>(((((((((C31)+(C34))+(C35))+(C36))+(C37))+(C38))+(C39))+(C40))+(C41))+(C42)</f>
        <v>0</v>
      </c>
      <c r="D43" s="7">
        <f t="shared" si="0"/>
        <v>0</v>
      </c>
      <c r="E43" s="8" t="str">
        <f t="shared" si="1"/>
        <v/>
      </c>
      <c r="F43" s="7">
        <f>(((((((((F31)+(F34))+(F35))+(F36))+(F37))+(F38))+(F39))+(F40))+(F41))+(F42)</f>
        <v>0</v>
      </c>
      <c r="G43" s="7">
        <f>(((((((((G31)+(G34))+(G35))+(G36))+(G37))+(G38))+(G39))+(G40))+(G41))+(G42)</f>
        <v>0</v>
      </c>
      <c r="H43" s="7">
        <f t="shared" si="2"/>
        <v>0</v>
      </c>
      <c r="I43" s="8" t="str">
        <f t="shared" si="3"/>
        <v/>
      </c>
      <c r="J43" s="7">
        <f>(((((((((J31)+(J34))+(J35))+(J36))+(J37))+(J38))+(J39))+(J40))+(J41))+(J42)</f>
        <v>118626.33</v>
      </c>
      <c r="K43" s="7">
        <f>(((((((((K31)+(K34))+(K35))+(K36))+(K37))+(K38))+(K39))+(K40))+(K41))+(K42)</f>
        <v>120200</v>
      </c>
      <c r="L43" s="7">
        <f t="shared" si="4"/>
        <v>-1573.6699999999983</v>
      </c>
      <c r="M43" s="8">
        <f t="shared" si="5"/>
        <v>0.98690790349417634</v>
      </c>
      <c r="N43" s="7">
        <f>(((((((((N31)+(N34))+(N35))+(N36))+(N37))+(N38))+(N39))+(N40))+(N41))+(N42)</f>
        <v>895883.15</v>
      </c>
      <c r="O43" s="7">
        <f>(((((((((O31)+(O34))+(O35))+(O36))+(O37))+(O38))+(O39))+(O40))+(O41))+(O42)</f>
        <v>912000</v>
      </c>
      <c r="P43" s="7">
        <f t="shared" si="6"/>
        <v>-16116.849999999977</v>
      </c>
      <c r="Q43" s="8">
        <f t="shared" si="7"/>
        <v>0.98232801535087722</v>
      </c>
      <c r="R43" s="7">
        <f>(((((((((R31)+(R34))+(R35))+(R36))+(R37))+(R38))+(R39))+(R40))+(R41))+(R42)</f>
        <v>0</v>
      </c>
      <c r="S43" s="7">
        <f>(((((((((S31)+(S34))+(S35))+(S36))+(S37))+(S38))+(S39))+(S40))+(S41))+(S42)</f>
        <v>0</v>
      </c>
      <c r="T43" s="7">
        <f t="shared" si="8"/>
        <v>0</v>
      </c>
      <c r="U43" s="8" t="str">
        <f t="shared" si="9"/>
        <v/>
      </c>
      <c r="V43" s="7">
        <f>(((((((((V31)+(V34))+(V35))+(V36))+(V37))+(V38))+(V39))+(V40))+(V41))+(V42)</f>
        <v>0</v>
      </c>
      <c r="W43" s="7">
        <f>(((((((((W31)+(W34))+(W35))+(W36))+(W37))+(W38))+(W39))+(W40))+(W41))+(W42)</f>
        <v>0</v>
      </c>
      <c r="X43" s="7">
        <f t="shared" si="10"/>
        <v>0</v>
      </c>
      <c r="Y43" s="8" t="str">
        <f t="shared" si="11"/>
        <v/>
      </c>
      <c r="Z43" s="7">
        <f>(((((((((Z31)+(Z34))+(Z35))+(Z36))+(Z37))+(Z38))+(Z39))+(Z40))+(Z41))+(Z42)</f>
        <v>509379.54</v>
      </c>
      <c r="AA43" s="7">
        <f>(((((((((AA31)+(AA34))+(AA35))+(AA36))+(AA37))+(AA38))+(AA39))+(AA40))+(AA41))+(AA42)</f>
        <v>706700</v>
      </c>
      <c r="AB43" s="7">
        <f t="shared" si="12"/>
        <v>-197320.46000000002</v>
      </c>
      <c r="AC43" s="8">
        <f t="shared" si="13"/>
        <v>0.72078610442903635</v>
      </c>
      <c r="AD43" s="7">
        <f t="shared" si="14"/>
        <v>1523889.02</v>
      </c>
      <c r="AE43" s="7">
        <f t="shared" si="15"/>
        <v>1738900</v>
      </c>
      <c r="AF43" s="7">
        <f t="shared" si="16"/>
        <v>-215010.97999999998</v>
      </c>
      <c r="AG43" s="8">
        <f t="shared" si="17"/>
        <v>0.87635230318017143</v>
      </c>
    </row>
    <row r="44" spans="1:33" x14ac:dyDescent="0.25">
      <c r="A44" s="3" t="s">
        <v>48</v>
      </c>
      <c r="B44" s="7">
        <f>(((B11)+(B18))+(B30))+(B43)</f>
        <v>476487.06</v>
      </c>
      <c r="C44" s="7">
        <f>(((C11)+(C18))+(C30))+(C43)</f>
        <v>452431</v>
      </c>
      <c r="D44" s="7">
        <f t="shared" si="0"/>
        <v>24056.059999999998</v>
      </c>
      <c r="E44" s="8">
        <f t="shared" si="1"/>
        <v>1.0531706713288878</v>
      </c>
      <c r="F44" s="7">
        <f>(((F11)+(F18))+(F30))+(F43)</f>
        <v>707</v>
      </c>
      <c r="G44" s="7">
        <f>(((G11)+(G18))+(G30))+(G43)</f>
        <v>2100</v>
      </c>
      <c r="H44" s="7">
        <f t="shared" si="2"/>
        <v>-1393</v>
      </c>
      <c r="I44" s="8">
        <f t="shared" si="3"/>
        <v>0.33666666666666667</v>
      </c>
      <c r="J44" s="7">
        <f>(((J11)+(J18))+(J30))+(J43)</f>
        <v>118626.33</v>
      </c>
      <c r="K44" s="7">
        <f>(((K11)+(K18))+(K30))+(K43)</f>
        <v>120200</v>
      </c>
      <c r="L44" s="7">
        <f t="shared" si="4"/>
        <v>-1573.6699999999983</v>
      </c>
      <c r="M44" s="8">
        <f t="shared" si="5"/>
        <v>0.98690790349417634</v>
      </c>
      <c r="N44" s="7">
        <f>(((N11)+(N18))+(N30))+(N43)</f>
        <v>895883.15</v>
      </c>
      <c r="O44" s="7">
        <f>(((O11)+(O18))+(O30))+(O43)</f>
        <v>912000</v>
      </c>
      <c r="P44" s="7">
        <f t="shared" si="6"/>
        <v>-16116.849999999977</v>
      </c>
      <c r="Q44" s="8">
        <f t="shared" si="7"/>
        <v>0.98232801535087722</v>
      </c>
      <c r="R44" s="7">
        <f>(((R11)+(R18))+(R30))+(R43)</f>
        <v>3350</v>
      </c>
      <c r="S44" s="7">
        <f>(((S11)+(S18))+(S30))+(S43)</f>
        <v>3000</v>
      </c>
      <c r="T44" s="7">
        <f t="shared" si="8"/>
        <v>350</v>
      </c>
      <c r="U44" s="8">
        <f t="shared" si="9"/>
        <v>1.1166666666666667</v>
      </c>
      <c r="V44" s="7">
        <f>(((V11)+(V18))+(V30))+(V43)</f>
        <v>0</v>
      </c>
      <c r="W44" s="7">
        <f>(((W11)+(W18))+(W30))+(W43)</f>
        <v>0</v>
      </c>
      <c r="X44" s="7">
        <f t="shared" si="10"/>
        <v>0</v>
      </c>
      <c r="Y44" s="8" t="str">
        <f t="shared" si="11"/>
        <v/>
      </c>
      <c r="Z44" s="7">
        <f>(((Z11)+(Z18))+(Z30))+(Z43)</f>
        <v>520979.54</v>
      </c>
      <c r="AA44" s="7">
        <f>(((AA11)+(AA18))+(AA30))+(AA43)</f>
        <v>781700</v>
      </c>
      <c r="AB44" s="7">
        <f t="shared" si="12"/>
        <v>-260720.46000000002</v>
      </c>
      <c r="AC44" s="8">
        <f t="shared" si="13"/>
        <v>0.66646992452347442</v>
      </c>
      <c r="AD44" s="7">
        <f t="shared" si="14"/>
        <v>2016033.08</v>
      </c>
      <c r="AE44" s="7">
        <f t="shared" si="15"/>
        <v>2271431</v>
      </c>
      <c r="AF44" s="7">
        <f t="shared" si="16"/>
        <v>-255397.91999999993</v>
      </c>
      <c r="AG44" s="8">
        <f t="shared" si="17"/>
        <v>0.88756078436897268</v>
      </c>
    </row>
    <row r="45" spans="1:33" x14ac:dyDescent="0.25">
      <c r="A45" s="3" t="s">
        <v>49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25">
      <c r="A46" s="3" t="s">
        <v>50</v>
      </c>
      <c r="B46" s="4"/>
      <c r="C46" s="4"/>
      <c r="D46" s="5">
        <f t="shared" ref="D46:D60" si="36">(B46)-(C46)</f>
        <v>0</v>
      </c>
      <c r="E46" s="6" t="str">
        <f t="shared" ref="E46:E60" si="37">IF(C46=0,"",(B46)/(C46))</f>
        <v/>
      </c>
      <c r="F46" s="4"/>
      <c r="G46" s="4"/>
      <c r="H46" s="5">
        <f t="shared" ref="H46:H60" si="38">(F46)-(G46)</f>
        <v>0</v>
      </c>
      <c r="I46" s="6" t="str">
        <f t="shared" ref="I46:I60" si="39">IF(G46=0,"",(F46)/(G46))</f>
        <v/>
      </c>
      <c r="J46" s="4"/>
      <c r="K46" s="4"/>
      <c r="L46" s="5">
        <f t="shared" ref="L46:L60" si="40">(J46)-(K46)</f>
        <v>0</v>
      </c>
      <c r="M46" s="6" t="str">
        <f t="shared" ref="M46:M60" si="41">IF(K46=0,"",(J46)/(K46))</f>
        <v/>
      </c>
      <c r="N46" s="4"/>
      <c r="O46" s="4"/>
      <c r="P46" s="5">
        <f t="shared" ref="P46:P60" si="42">(N46)-(O46)</f>
        <v>0</v>
      </c>
      <c r="Q46" s="6" t="str">
        <f t="shared" ref="Q46:Q60" si="43">IF(O46=0,"",(N46)/(O46))</f>
        <v/>
      </c>
      <c r="R46" s="4"/>
      <c r="S46" s="4"/>
      <c r="T46" s="5">
        <f t="shared" ref="T46:T60" si="44">(R46)-(S46)</f>
        <v>0</v>
      </c>
      <c r="U46" s="6" t="str">
        <f t="shared" ref="U46:U60" si="45">IF(S46=0,"",(R46)/(S46))</f>
        <v/>
      </c>
      <c r="V46" s="4"/>
      <c r="W46" s="4"/>
      <c r="X46" s="5">
        <f t="shared" ref="X46:X60" si="46">(V46)-(W46)</f>
        <v>0</v>
      </c>
      <c r="Y46" s="6" t="str">
        <f t="shared" ref="Y46:Y60" si="47">IF(W46=0,"",(V46)/(W46))</f>
        <v/>
      </c>
      <c r="Z46" s="4"/>
      <c r="AA46" s="4"/>
      <c r="AB46" s="5">
        <f t="shared" ref="AB46:AB60" si="48">(Z46)-(AA46)</f>
        <v>0</v>
      </c>
      <c r="AC46" s="6" t="str">
        <f t="shared" ref="AC46:AC60" si="49">IF(AA46=0,"",(Z46)/(AA46))</f>
        <v/>
      </c>
      <c r="AD46" s="5">
        <f t="shared" ref="AD46:AD60" si="50">((((((B46)+(F46))+(J46))+(N46))+(R46))+(V46))+(Z46)</f>
        <v>0</v>
      </c>
      <c r="AE46" s="5">
        <f t="shared" ref="AE46:AE60" si="51">((((((C46)+(G46))+(K46))+(O46))+(S46))+(W46))+(AA46)</f>
        <v>0</v>
      </c>
      <c r="AF46" s="5">
        <f t="shared" ref="AF46:AF60" si="52">(AD46)-(AE46)</f>
        <v>0</v>
      </c>
      <c r="AG46" s="6" t="str">
        <f t="shared" ref="AG46:AG60" si="53">IF(AE46=0,"",(AD46)/(AE46))</f>
        <v/>
      </c>
    </row>
    <row r="47" spans="1:33" s="15" customFormat="1" x14ac:dyDescent="0.25">
      <c r="A47" s="11" t="s">
        <v>51</v>
      </c>
      <c r="B47" s="12"/>
      <c r="C47" s="12"/>
      <c r="D47" s="13">
        <f t="shared" si="36"/>
        <v>0</v>
      </c>
      <c r="E47" s="14" t="str">
        <f t="shared" si="37"/>
        <v/>
      </c>
      <c r="F47" s="12"/>
      <c r="G47" s="12"/>
      <c r="H47" s="13">
        <f t="shared" si="38"/>
        <v>0</v>
      </c>
      <c r="I47" s="14" t="str">
        <f t="shared" si="39"/>
        <v/>
      </c>
      <c r="J47" s="13">
        <v>87791.03</v>
      </c>
      <c r="K47" s="13">
        <v>95000</v>
      </c>
      <c r="L47" s="13">
        <f t="shared" si="40"/>
        <v>-7208.9700000000012</v>
      </c>
      <c r="M47" s="14">
        <f t="shared" si="41"/>
        <v>0.92411610526315791</v>
      </c>
      <c r="N47" s="12"/>
      <c r="O47" s="12"/>
      <c r="P47" s="13">
        <f t="shared" si="42"/>
        <v>0</v>
      </c>
      <c r="Q47" s="14" t="str">
        <f t="shared" si="43"/>
        <v/>
      </c>
      <c r="R47" s="12"/>
      <c r="S47" s="12"/>
      <c r="T47" s="13">
        <f t="shared" si="44"/>
        <v>0</v>
      </c>
      <c r="U47" s="14" t="str">
        <f t="shared" si="45"/>
        <v/>
      </c>
      <c r="V47" s="12"/>
      <c r="W47" s="12"/>
      <c r="X47" s="13">
        <f t="shared" si="46"/>
        <v>0</v>
      </c>
      <c r="Y47" s="14" t="str">
        <f t="shared" si="47"/>
        <v/>
      </c>
      <c r="Z47" s="12"/>
      <c r="AA47" s="12"/>
      <c r="AB47" s="13">
        <f t="shared" si="48"/>
        <v>0</v>
      </c>
      <c r="AC47" s="14" t="str">
        <f t="shared" si="49"/>
        <v/>
      </c>
      <c r="AD47" s="13">
        <f t="shared" si="50"/>
        <v>87791.03</v>
      </c>
      <c r="AE47" s="13">
        <f t="shared" si="51"/>
        <v>95000</v>
      </c>
      <c r="AF47" s="13">
        <f t="shared" si="52"/>
        <v>-7208.9700000000012</v>
      </c>
      <c r="AG47" s="14">
        <f t="shared" si="53"/>
        <v>0.92411610526315791</v>
      </c>
    </row>
    <row r="48" spans="1:33" s="15" customFormat="1" x14ac:dyDescent="0.25">
      <c r="A48" s="11" t="s">
        <v>52</v>
      </c>
      <c r="B48" s="12"/>
      <c r="C48" s="12"/>
      <c r="D48" s="13">
        <f t="shared" si="36"/>
        <v>0</v>
      </c>
      <c r="E48" s="14" t="str">
        <f t="shared" si="37"/>
        <v/>
      </c>
      <c r="F48" s="12"/>
      <c r="G48" s="12"/>
      <c r="H48" s="13">
        <f t="shared" si="38"/>
        <v>0</v>
      </c>
      <c r="I48" s="14" t="str">
        <f t="shared" si="39"/>
        <v/>
      </c>
      <c r="J48" s="12"/>
      <c r="K48" s="12"/>
      <c r="L48" s="13">
        <f t="shared" si="40"/>
        <v>0</v>
      </c>
      <c r="M48" s="14" t="str">
        <f t="shared" si="41"/>
        <v/>
      </c>
      <c r="N48" s="13">
        <v>450000</v>
      </c>
      <c r="O48" s="13">
        <v>475000</v>
      </c>
      <c r="P48" s="13">
        <f t="shared" si="42"/>
        <v>-25000</v>
      </c>
      <c r="Q48" s="14">
        <f t="shared" si="43"/>
        <v>0.94736842105263153</v>
      </c>
      <c r="R48" s="12"/>
      <c r="S48" s="12"/>
      <c r="T48" s="13">
        <f t="shared" si="44"/>
        <v>0</v>
      </c>
      <c r="U48" s="14" t="str">
        <f t="shared" si="45"/>
        <v/>
      </c>
      <c r="V48" s="12"/>
      <c r="W48" s="12"/>
      <c r="X48" s="13">
        <f t="shared" si="46"/>
        <v>0</v>
      </c>
      <c r="Y48" s="14" t="str">
        <f t="shared" si="47"/>
        <v/>
      </c>
      <c r="Z48" s="12"/>
      <c r="AA48" s="12"/>
      <c r="AB48" s="13">
        <f t="shared" si="48"/>
        <v>0</v>
      </c>
      <c r="AC48" s="14" t="str">
        <f t="shared" si="49"/>
        <v/>
      </c>
      <c r="AD48" s="13">
        <f t="shared" si="50"/>
        <v>450000</v>
      </c>
      <c r="AE48" s="13">
        <f t="shared" si="51"/>
        <v>475000</v>
      </c>
      <c r="AF48" s="13">
        <f t="shared" si="52"/>
        <v>-25000</v>
      </c>
      <c r="AG48" s="14">
        <f t="shared" si="53"/>
        <v>0.94736842105263153</v>
      </c>
    </row>
    <row r="49" spans="1:33" s="15" customFormat="1" x14ac:dyDescent="0.25">
      <c r="A49" s="11" t="s">
        <v>53</v>
      </c>
      <c r="B49" s="12"/>
      <c r="C49" s="12"/>
      <c r="D49" s="13">
        <f t="shared" si="36"/>
        <v>0</v>
      </c>
      <c r="E49" s="14" t="str">
        <f t="shared" si="37"/>
        <v/>
      </c>
      <c r="F49" s="12"/>
      <c r="G49" s="12"/>
      <c r="H49" s="13">
        <f t="shared" si="38"/>
        <v>0</v>
      </c>
      <c r="I49" s="14" t="str">
        <f t="shared" si="39"/>
        <v/>
      </c>
      <c r="J49" s="12"/>
      <c r="K49" s="12"/>
      <c r="L49" s="13">
        <f t="shared" si="40"/>
        <v>0</v>
      </c>
      <c r="M49" s="14" t="str">
        <f t="shared" si="41"/>
        <v/>
      </c>
      <c r="N49" s="13">
        <v>131897.88</v>
      </c>
      <c r="O49" s="13">
        <v>180000</v>
      </c>
      <c r="P49" s="13">
        <f t="shared" si="42"/>
        <v>-48102.119999999995</v>
      </c>
      <c r="Q49" s="14">
        <f t="shared" si="43"/>
        <v>0.73276600000000003</v>
      </c>
      <c r="R49" s="12"/>
      <c r="S49" s="12"/>
      <c r="T49" s="13">
        <f t="shared" si="44"/>
        <v>0</v>
      </c>
      <c r="U49" s="14" t="str">
        <f t="shared" si="45"/>
        <v/>
      </c>
      <c r="V49" s="12"/>
      <c r="W49" s="12"/>
      <c r="X49" s="13">
        <f t="shared" si="46"/>
        <v>0</v>
      </c>
      <c r="Y49" s="14" t="str">
        <f t="shared" si="47"/>
        <v/>
      </c>
      <c r="Z49" s="12"/>
      <c r="AA49" s="12"/>
      <c r="AB49" s="13">
        <f t="shared" si="48"/>
        <v>0</v>
      </c>
      <c r="AC49" s="14" t="str">
        <f t="shared" si="49"/>
        <v/>
      </c>
      <c r="AD49" s="13">
        <f t="shared" si="50"/>
        <v>131897.88</v>
      </c>
      <c r="AE49" s="13">
        <f t="shared" si="51"/>
        <v>180000</v>
      </c>
      <c r="AF49" s="13">
        <f t="shared" si="52"/>
        <v>-48102.119999999995</v>
      </c>
      <c r="AG49" s="14">
        <f t="shared" si="53"/>
        <v>0.73276600000000003</v>
      </c>
    </row>
    <row r="50" spans="1:33" s="15" customFormat="1" x14ac:dyDescent="0.25">
      <c r="A50" s="11" t="s">
        <v>54</v>
      </c>
      <c r="B50" s="24">
        <v>0</v>
      </c>
      <c r="C50" s="12"/>
      <c r="D50" s="13">
        <f t="shared" si="36"/>
        <v>0</v>
      </c>
      <c r="E50" s="14" t="str">
        <f t="shared" si="37"/>
        <v/>
      </c>
      <c r="F50" s="12"/>
      <c r="G50" s="12"/>
      <c r="H50" s="13">
        <f t="shared" si="38"/>
        <v>0</v>
      </c>
      <c r="I50" s="14" t="str">
        <f t="shared" si="39"/>
        <v/>
      </c>
      <c r="J50" s="12"/>
      <c r="K50" s="12"/>
      <c r="L50" s="13">
        <f t="shared" si="40"/>
        <v>0</v>
      </c>
      <c r="M50" s="14" t="str">
        <f t="shared" si="41"/>
        <v/>
      </c>
      <c r="N50" s="13">
        <v>63047.25</v>
      </c>
      <c r="O50" s="13">
        <v>75000</v>
      </c>
      <c r="P50" s="13">
        <f t="shared" si="42"/>
        <v>-11952.75</v>
      </c>
      <c r="Q50" s="14">
        <f t="shared" si="43"/>
        <v>0.84062999999999999</v>
      </c>
      <c r="R50" s="12"/>
      <c r="S50" s="12"/>
      <c r="T50" s="13">
        <f t="shared" si="44"/>
        <v>0</v>
      </c>
      <c r="U50" s="14" t="str">
        <f t="shared" si="45"/>
        <v/>
      </c>
      <c r="V50" s="13">
        <f>256.89</f>
        <v>256.89</v>
      </c>
      <c r="W50" s="13">
        <f>3000</f>
        <v>3000</v>
      </c>
      <c r="X50" s="13">
        <f t="shared" si="46"/>
        <v>-2743.11</v>
      </c>
      <c r="Y50" s="14">
        <f t="shared" si="47"/>
        <v>8.5629999999999998E-2</v>
      </c>
      <c r="Z50" s="13">
        <f>45729.06</f>
        <v>45729.06</v>
      </c>
      <c r="AA50" s="13">
        <f>19000</f>
        <v>19000</v>
      </c>
      <c r="AB50" s="13">
        <f t="shared" si="48"/>
        <v>26729.059999999998</v>
      </c>
      <c r="AC50" s="14">
        <f t="shared" si="49"/>
        <v>2.4067926315789472</v>
      </c>
      <c r="AD50" s="13">
        <f t="shared" si="50"/>
        <v>109033.2</v>
      </c>
      <c r="AE50" s="13">
        <f t="shared" si="51"/>
        <v>97000</v>
      </c>
      <c r="AF50" s="13">
        <f t="shared" si="52"/>
        <v>12033.199999999997</v>
      </c>
      <c r="AG50" s="14">
        <f t="shared" si="53"/>
        <v>1.1240536082474226</v>
      </c>
    </row>
    <row r="51" spans="1:33" s="15" customFormat="1" x14ac:dyDescent="0.25">
      <c r="A51" s="11" t="s">
        <v>55</v>
      </c>
      <c r="B51" s="12"/>
      <c r="C51" s="12"/>
      <c r="D51" s="13">
        <f t="shared" si="36"/>
        <v>0</v>
      </c>
      <c r="E51" s="14" t="str">
        <f t="shared" si="37"/>
        <v/>
      </c>
      <c r="F51" s="12"/>
      <c r="G51" s="12"/>
      <c r="H51" s="13">
        <f t="shared" si="38"/>
        <v>0</v>
      </c>
      <c r="I51" s="14" t="str">
        <f t="shared" si="39"/>
        <v/>
      </c>
      <c r="J51" s="12"/>
      <c r="K51" s="12"/>
      <c r="L51" s="13">
        <f t="shared" si="40"/>
        <v>0</v>
      </c>
      <c r="M51" s="14" t="str">
        <f t="shared" si="41"/>
        <v/>
      </c>
      <c r="N51" s="13">
        <v>307.52999999999997</v>
      </c>
      <c r="O51" s="13">
        <v>450</v>
      </c>
      <c r="P51" s="13">
        <f t="shared" si="42"/>
        <v>-142.47000000000003</v>
      </c>
      <c r="Q51" s="14">
        <f t="shared" si="43"/>
        <v>0.6833999999999999</v>
      </c>
      <c r="R51" s="12"/>
      <c r="S51" s="12"/>
      <c r="T51" s="13">
        <f t="shared" si="44"/>
        <v>0</v>
      </c>
      <c r="U51" s="14" t="str">
        <f t="shared" si="45"/>
        <v/>
      </c>
      <c r="V51" s="12"/>
      <c r="W51" s="12"/>
      <c r="X51" s="13">
        <f t="shared" si="46"/>
        <v>0</v>
      </c>
      <c r="Y51" s="14" t="str">
        <f t="shared" si="47"/>
        <v/>
      </c>
      <c r="Z51" s="12"/>
      <c r="AA51" s="12"/>
      <c r="AB51" s="13">
        <f t="shared" si="48"/>
        <v>0</v>
      </c>
      <c r="AC51" s="14" t="str">
        <f t="shared" si="49"/>
        <v/>
      </c>
      <c r="AD51" s="13">
        <f t="shared" si="50"/>
        <v>307.52999999999997</v>
      </c>
      <c r="AE51" s="13">
        <f t="shared" si="51"/>
        <v>450</v>
      </c>
      <c r="AF51" s="13">
        <f t="shared" si="52"/>
        <v>-142.47000000000003</v>
      </c>
      <c r="AG51" s="14">
        <f t="shared" si="53"/>
        <v>0.6833999999999999</v>
      </c>
    </row>
    <row r="52" spans="1:33" s="15" customFormat="1" x14ac:dyDescent="0.25">
      <c r="A52" s="11" t="s">
        <v>56</v>
      </c>
      <c r="B52" s="12"/>
      <c r="C52" s="12"/>
      <c r="D52" s="13">
        <f t="shared" si="36"/>
        <v>0</v>
      </c>
      <c r="E52" s="14" t="str">
        <f t="shared" si="37"/>
        <v/>
      </c>
      <c r="F52" s="12"/>
      <c r="G52" s="12"/>
      <c r="H52" s="13">
        <f t="shared" si="38"/>
        <v>0</v>
      </c>
      <c r="I52" s="14" t="str">
        <f t="shared" si="39"/>
        <v/>
      </c>
      <c r="J52" s="12"/>
      <c r="K52" s="12"/>
      <c r="L52" s="13">
        <f t="shared" si="40"/>
        <v>0</v>
      </c>
      <c r="M52" s="14" t="str">
        <f t="shared" si="41"/>
        <v/>
      </c>
      <c r="N52" s="12"/>
      <c r="O52" s="12"/>
      <c r="P52" s="13">
        <f t="shared" si="42"/>
        <v>0</v>
      </c>
      <c r="Q52" s="14" t="str">
        <f t="shared" si="43"/>
        <v/>
      </c>
      <c r="R52" s="12"/>
      <c r="S52" s="12"/>
      <c r="T52" s="13">
        <f t="shared" si="44"/>
        <v>0</v>
      </c>
      <c r="U52" s="14" t="str">
        <f t="shared" si="45"/>
        <v/>
      </c>
      <c r="V52" s="12"/>
      <c r="W52" s="12"/>
      <c r="X52" s="13">
        <f t="shared" si="46"/>
        <v>0</v>
      </c>
      <c r="Y52" s="14" t="str">
        <f t="shared" si="47"/>
        <v/>
      </c>
      <c r="Z52" s="13">
        <v>17399.04</v>
      </c>
      <c r="AA52" s="13">
        <v>20000</v>
      </c>
      <c r="AB52" s="13">
        <f t="shared" si="48"/>
        <v>-2600.9599999999991</v>
      </c>
      <c r="AC52" s="14">
        <f t="shared" si="49"/>
        <v>0.86995200000000006</v>
      </c>
      <c r="AD52" s="13">
        <f t="shared" si="50"/>
        <v>17399.04</v>
      </c>
      <c r="AE52" s="13">
        <f t="shared" si="51"/>
        <v>20000</v>
      </c>
      <c r="AF52" s="13">
        <f t="shared" si="52"/>
        <v>-2600.9599999999991</v>
      </c>
      <c r="AG52" s="14">
        <f t="shared" si="53"/>
        <v>0.86995200000000006</v>
      </c>
    </row>
    <row r="53" spans="1:33" s="15" customFormat="1" x14ac:dyDescent="0.25">
      <c r="A53" s="11" t="s">
        <v>57</v>
      </c>
      <c r="B53" s="12"/>
      <c r="C53" s="12"/>
      <c r="D53" s="13">
        <f t="shared" si="36"/>
        <v>0</v>
      </c>
      <c r="E53" s="14" t="str">
        <f t="shared" si="37"/>
        <v/>
      </c>
      <c r="F53" s="12"/>
      <c r="G53" s="12"/>
      <c r="H53" s="13">
        <f t="shared" si="38"/>
        <v>0</v>
      </c>
      <c r="I53" s="14" t="str">
        <f t="shared" si="39"/>
        <v/>
      </c>
      <c r="J53" s="12"/>
      <c r="K53" s="12"/>
      <c r="L53" s="13">
        <f t="shared" si="40"/>
        <v>0</v>
      </c>
      <c r="M53" s="14" t="str">
        <f t="shared" si="41"/>
        <v/>
      </c>
      <c r="N53" s="12"/>
      <c r="O53" s="12"/>
      <c r="P53" s="13">
        <f t="shared" si="42"/>
        <v>0</v>
      </c>
      <c r="Q53" s="14" t="str">
        <f t="shared" si="43"/>
        <v/>
      </c>
      <c r="R53" s="12"/>
      <c r="S53" s="12"/>
      <c r="T53" s="13">
        <f t="shared" si="44"/>
        <v>0</v>
      </c>
      <c r="U53" s="14" t="str">
        <f t="shared" si="45"/>
        <v/>
      </c>
      <c r="V53" s="12"/>
      <c r="W53" s="12"/>
      <c r="X53" s="13">
        <f t="shared" si="46"/>
        <v>0</v>
      </c>
      <c r="Y53" s="14" t="str">
        <f t="shared" si="47"/>
        <v/>
      </c>
      <c r="Z53" s="13">
        <v>86758.3</v>
      </c>
      <c r="AA53" s="13">
        <v>200000</v>
      </c>
      <c r="AB53" s="13">
        <f t="shared" si="48"/>
        <v>-113241.7</v>
      </c>
      <c r="AC53" s="14">
        <f t="shared" si="49"/>
        <v>0.4337915</v>
      </c>
      <c r="AD53" s="13">
        <f t="shared" si="50"/>
        <v>86758.3</v>
      </c>
      <c r="AE53" s="13">
        <f t="shared" si="51"/>
        <v>200000</v>
      </c>
      <c r="AF53" s="13">
        <f t="shared" si="52"/>
        <v>-113241.7</v>
      </c>
      <c r="AG53" s="14">
        <f t="shared" si="53"/>
        <v>0.4337915</v>
      </c>
    </row>
    <row r="54" spans="1:33" s="15" customFormat="1" x14ac:dyDescent="0.25">
      <c r="A54" s="11" t="s">
        <v>58</v>
      </c>
      <c r="B54" s="12"/>
      <c r="C54" s="12"/>
      <c r="D54" s="13">
        <f t="shared" si="36"/>
        <v>0</v>
      </c>
      <c r="E54" s="14" t="str">
        <f t="shared" si="37"/>
        <v/>
      </c>
      <c r="F54" s="12"/>
      <c r="G54" s="12"/>
      <c r="H54" s="13">
        <f t="shared" si="38"/>
        <v>0</v>
      </c>
      <c r="I54" s="14" t="str">
        <f t="shared" si="39"/>
        <v/>
      </c>
      <c r="J54" s="12"/>
      <c r="K54" s="12"/>
      <c r="L54" s="13">
        <f t="shared" si="40"/>
        <v>0</v>
      </c>
      <c r="M54" s="14" t="str">
        <f t="shared" si="41"/>
        <v/>
      </c>
      <c r="N54" s="12"/>
      <c r="O54" s="12"/>
      <c r="P54" s="13">
        <f t="shared" si="42"/>
        <v>0</v>
      </c>
      <c r="Q54" s="14" t="str">
        <f t="shared" si="43"/>
        <v/>
      </c>
      <c r="R54" s="12"/>
      <c r="S54" s="12"/>
      <c r="T54" s="13">
        <f t="shared" si="44"/>
        <v>0</v>
      </c>
      <c r="U54" s="14" t="str">
        <f t="shared" si="45"/>
        <v/>
      </c>
      <c r="V54" s="12"/>
      <c r="W54" s="12"/>
      <c r="X54" s="13">
        <f t="shared" si="46"/>
        <v>0</v>
      </c>
      <c r="Y54" s="14" t="str">
        <f t="shared" si="47"/>
        <v/>
      </c>
      <c r="Z54" s="13">
        <v>9170.1200000000008</v>
      </c>
      <c r="AA54" s="13">
        <v>10000</v>
      </c>
      <c r="AB54" s="13">
        <f t="shared" si="48"/>
        <v>-829.8799999999992</v>
      </c>
      <c r="AC54" s="14">
        <f t="shared" si="49"/>
        <v>0.91701200000000005</v>
      </c>
      <c r="AD54" s="13">
        <f t="shared" si="50"/>
        <v>9170.1200000000008</v>
      </c>
      <c r="AE54" s="13">
        <f t="shared" si="51"/>
        <v>10000</v>
      </c>
      <c r="AF54" s="13">
        <f t="shared" si="52"/>
        <v>-829.8799999999992</v>
      </c>
      <c r="AG54" s="14">
        <f t="shared" si="53"/>
        <v>0.91701200000000005</v>
      </c>
    </row>
    <row r="55" spans="1:33" s="15" customFormat="1" x14ac:dyDescent="0.25">
      <c r="A55" s="11" t="s">
        <v>59</v>
      </c>
      <c r="B55" s="12"/>
      <c r="C55" s="12"/>
      <c r="D55" s="13">
        <f t="shared" si="36"/>
        <v>0</v>
      </c>
      <c r="E55" s="14" t="str">
        <f t="shared" si="37"/>
        <v/>
      </c>
      <c r="F55" s="12"/>
      <c r="G55" s="12"/>
      <c r="H55" s="13">
        <f t="shared" si="38"/>
        <v>0</v>
      </c>
      <c r="I55" s="14" t="str">
        <f t="shared" si="39"/>
        <v/>
      </c>
      <c r="J55" s="12"/>
      <c r="K55" s="12"/>
      <c r="L55" s="13">
        <f t="shared" si="40"/>
        <v>0</v>
      </c>
      <c r="M55" s="14" t="str">
        <f t="shared" si="41"/>
        <v/>
      </c>
      <c r="N55" s="12"/>
      <c r="O55" s="12"/>
      <c r="P55" s="13">
        <f t="shared" si="42"/>
        <v>0</v>
      </c>
      <c r="Q55" s="14" t="str">
        <f t="shared" si="43"/>
        <v/>
      </c>
      <c r="R55" s="12"/>
      <c r="S55" s="12"/>
      <c r="T55" s="13">
        <f t="shared" si="44"/>
        <v>0</v>
      </c>
      <c r="U55" s="14" t="str">
        <f t="shared" si="45"/>
        <v/>
      </c>
      <c r="V55" s="12"/>
      <c r="W55" s="12"/>
      <c r="X55" s="13">
        <f t="shared" si="46"/>
        <v>0</v>
      </c>
      <c r="Y55" s="14" t="str">
        <f t="shared" si="47"/>
        <v/>
      </c>
      <c r="Z55" s="13">
        <v>80512.5</v>
      </c>
      <c r="AA55" s="13">
        <v>245000</v>
      </c>
      <c r="AB55" s="13">
        <f t="shared" si="48"/>
        <v>-164487.5</v>
      </c>
      <c r="AC55" s="14">
        <f t="shared" si="49"/>
        <v>0.32862244897959186</v>
      </c>
      <c r="AD55" s="13">
        <f t="shared" si="50"/>
        <v>80512.5</v>
      </c>
      <c r="AE55" s="13">
        <f t="shared" si="51"/>
        <v>245000</v>
      </c>
      <c r="AF55" s="13">
        <f t="shared" si="52"/>
        <v>-164487.5</v>
      </c>
      <c r="AG55" s="14">
        <f t="shared" si="53"/>
        <v>0.32862244897959186</v>
      </c>
    </row>
    <row r="56" spans="1:33" s="15" customFormat="1" x14ac:dyDescent="0.25">
      <c r="A56" s="11" t="s">
        <v>60</v>
      </c>
      <c r="B56" s="12"/>
      <c r="C56" s="12"/>
      <c r="D56" s="13">
        <f t="shared" si="36"/>
        <v>0</v>
      </c>
      <c r="E56" s="14" t="str">
        <f t="shared" si="37"/>
        <v/>
      </c>
      <c r="F56" s="12"/>
      <c r="G56" s="12"/>
      <c r="H56" s="13">
        <f t="shared" si="38"/>
        <v>0</v>
      </c>
      <c r="I56" s="14" t="str">
        <f t="shared" si="39"/>
        <v/>
      </c>
      <c r="J56" s="12"/>
      <c r="K56" s="12"/>
      <c r="L56" s="13">
        <f t="shared" si="40"/>
        <v>0</v>
      </c>
      <c r="M56" s="14" t="str">
        <f t="shared" si="41"/>
        <v/>
      </c>
      <c r="N56" s="12"/>
      <c r="O56" s="12"/>
      <c r="P56" s="13">
        <f t="shared" si="42"/>
        <v>0</v>
      </c>
      <c r="Q56" s="14" t="str">
        <f t="shared" si="43"/>
        <v/>
      </c>
      <c r="R56" s="12"/>
      <c r="S56" s="12"/>
      <c r="T56" s="13">
        <f t="shared" si="44"/>
        <v>0</v>
      </c>
      <c r="U56" s="14" t="str">
        <f t="shared" si="45"/>
        <v/>
      </c>
      <c r="V56" s="12"/>
      <c r="W56" s="12"/>
      <c r="X56" s="13">
        <f t="shared" si="46"/>
        <v>0</v>
      </c>
      <c r="Y56" s="14" t="str">
        <f t="shared" si="47"/>
        <v/>
      </c>
      <c r="Z56" s="13">
        <v>12405.83</v>
      </c>
      <c r="AA56" s="13">
        <v>15000</v>
      </c>
      <c r="AB56" s="13">
        <f t="shared" si="48"/>
        <v>-2594.17</v>
      </c>
      <c r="AC56" s="14">
        <f t="shared" si="49"/>
        <v>0.82705533333333336</v>
      </c>
      <c r="AD56" s="13">
        <f t="shared" si="50"/>
        <v>12405.83</v>
      </c>
      <c r="AE56" s="13">
        <f t="shared" si="51"/>
        <v>15000</v>
      </c>
      <c r="AF56" s="13">
        <f t="shared" si="52"/>
        <v>-2594.17</v>
      </c>
      <c r="AG56" s="14">
        <f t="shared" si="53"/>
        <v>0.82705533333333336</v>
      </c>
    </row>
    <row r="57" spans="1:33" s="15" customFormat="1" x14ac:dyDescent="0.25">
      <c r="A57" s="25" t="s">
        <v>61</v>
      </c>
      <c r="B57" s="12"/>
      <c r="C57" s="12"/>
      <c r="D57" s="13">
        <f t="shared" si="36"/>
        <v>0</v>
      </c>
      <c r="E57" s="14" t="str">
        <f t="shared" si="37"/>
        <v/>
      </c>
      <c r="F57" s="12"/>
      <c r="G57" s="12"/>
      <c r="H57" s="13">
        <f t="shared" si="38"/>
        <v>0</v>
      </c>
      <c r="I57" s="14" t="str">
        <f t="shared" si="39"/>
        <v/>
      </c>
      <c r="J57" s="12"/>
      <c r="K57" s="12"/>
      <c r="L57" s="13">
        <f t="shared" si="40"/>
        <v>0</v>
      </c>
      <c r="M57" s="14" t="str">
        <f t="shared" si="41"/>
        <v/>
      </c>
      <c r="N57" s="12"/>
      <c r="O57" s="12"/>
      <c r="P57" s="13">
        <f t="shared" si="42"/>
        <v>0</v>
      </c>
      <c r="Q57" s="14" t="str">
        <f t="shared" si="43"/>
        <v/>
      </c>
      <c r="R57" s="12"/>
      <c r="S57" s="12"/>
      <c r="T57" s="13">
        <f t="shared" si="44"/>
        <v>0</v>
      </c>
      <c r="U57" s="14" t="str">
        <f t="shared" si="45"/>
        <v/>
      </c>
      <c r="V57" s="12"/>
      <c r="W57" s="12"/>
      <c r="X57" s="13">
        <f t="shared" si="46"/>
        <v>0</v>
      </c>
      <c r="Y57" s="14" t="str">
        <f t="shared" si="47"/>
        <v/>
      </c>
      <c r="Z57" s="13">
        <v>4409.8599999999997</v>
      </c>
      <c r="AA57" s="13">
        <v>70000</v>
      </c>
      <c r="AB57" s="13">
        <f t="shared" si="48"/>
        <v>-65590.14</v>
      </c>
      <c r="AC57" s="14">
        <f t="shared" si="49"/>
        <v>6.2997999999999998E-2</v>
      </c>
      <c r="AD57" s="13">
        <f t="shared" si="50"/>
        <v>4409.8599999999997</v>
      </c>
      <c r="AE57" s="13">
        <f t="shared" si="51"/>
        <v>70000</v>
      </c>
      <c r="AF57" s="13">
        <f t="shared" si="52"/>
        <v>-65590.14</v>
      </c>
      <c r="AG57" s="14">
        <f t="shared" si="53"/>
        <v>6.2997999999999998E-2</v>
      </c>
    </row>
    <row r="58" spans="1:33" x14ac:dyDescent="0.25">
      <c r="A58" s="3" t="s">
        <v>62</v>
      </c>
      <c r="B58" s="7">
        <f>(((((((((((B46)+(B47))+(B48))+(B49))+(B50))+(B51))+(B52))+(B53))+(B54))+(B55))+(B56))+(B57)</f>
        <v>0</v>
      </c>
      <c r="C58" s="7">
        <f>(((((((((((C46)+(C47))+(C48))+(C49))+(C50))+(C51))+(C52))+(C53))+(C54))+(C55))+(C56))+(C57)</f>
        <v>0</v>
      </c>
      <c r="D58" s="7">
        <f t="shared" si="36"/>
        <v>0</v>
      </c>
      <c r="E58" s="8" t="str">
        <f t="shared" si="37"/>
        <v/>
      </c>
      <c r="F58" s="7">
        <f>(((((((((((F46)+(F47))+(F48))+(F49))+(F50))+(F51))+(F52))+(F53))+(F54))+(F55))+(F56))+(F57)</f>
        <v>0</v>
      </c>
      <c r="G58" s="7">
        <f>(((((((((((G46)+(G47))+(G48))+(G49))+(G50))+(G51))+(G52))+(G53))+(G54))+(G55))+(G56))+(G57)</f>
        <v>0</v>
      </c>
      <c r="H58" s="7">
        <f t="shared" si="38"/>
        <v>0</v>
      </c>
      <c r="I58" s="8" t="str">
        <f t="shared" si="39"/>
        <v/>
      </c>
      <c r="J58" s="7">
        <f>(((((((((((J46)+(J47))+(J48))+(J49))+(J50))+(J51))+(J52))+(J53))+(J54))+(J55))+(J56))+(J57)</f>
        <v>87791.03</v>
      </c>
      <c r="K58" s="7">
        <f>(((((((((((K46)+(K47))+(K48))+(K49))+(K50))+(K51))+(K52))+(K53))+(K54))+(K55))+(K56))+(K57)</f>
        <v>95000</v>
      </c>
      <c r="L58" s="7">
        <f t="shared" si="40"/>
        <v>-7208.9700000000012</v>
      </c>
      <c r="M58" s="8">
        <f t="shared" si="41"/>
        <v>0.92411610526315791</v>
      </c>
      <c r="N58" s="7">
        <f>(((((((((((N46)+(N47))+(N48))+(N49))+(N50))+(N51))+(N52))+(N53))+(N54))+(N55))+(N56))+(N57)</f>
        <v>645252.66</v>
      </c>
      <c r="O58" s="7">
        <f>(((((((((((O46)+(O47))+(O48))+(O49))+(O50))+(O51))+(O52))+(O53))+(O54))+(O55))+(O56))+(O57)</f>
        <v>730450</v>
      </c>
      <c r="P58" s="7">
        <f t="shared" si="42"/>
        <v>-85197.339999999967</v>
      </c>
      <c r="Q58" s="8">
        <f t="shared" si="43"/>
        <v>0.88336321445684174</v>
      </c>
      <c r="R58" s="7">
        <f>(((((((((((R46)+(R47))+(R48))+(R49))+(R50))+(R51))+(R52))+(R53))+(R54))+(R55))+(R56))+(R57)</f>
        <v>0</v>
      </c>
      <c r="S58" s="7">
        <f>(((((((((((S46)+(S47))+(S48))+(S49))+(S50))+(S51))+(S52))+(S53))+(S54))+(S55))+(S56))+(S57)</f>
        <v>0</v>
      </c>
      <c r="T58" s="7">
        <f t="shared" si="44"/>
        <v>0</v>
      </c>
      <c r="U58" s="8" t="str">
        <f t="shared" si="45"/>
        <v/>
      </c>
      <c r="V58" s="7">
        <f>(((((((((((V46)+(V47))+(V48))+(V49))+(V50))+(V51))+(V52))+(V53))+(V54))+(V55))+(V56))+(V57)</f>
        <v>256.89</v>
      </c>
      <c r="W58" s="7">
        <f>(((((((((((W46)+(W47))+(W48))+(W49))+(W50))+(W51))+(W52))+(W53))+(W54))+(W55))+(W56))+(W57)</f>
        <v>3000</v>
      </c>
      <c r="X58" s="7">
        <f t="shared" si="46"/>
        <v>-2743.11</v>
      </c>
      <c r="Y58" s="8">
        <f t="shared" si="47"/>
        <v>8.5629999999999998E-2</v>
      </c>
      <c r="Z58" s="7">
        <f>(((((((((((Z46)+(Z47))+(Z48))+(Z49))+(Z50))+(Z51))+(Z52))+(Z53))+(Z54))+(Z55))+(Z56))+(Z57)</f>
        <v>256384.70999999996</v>
      </c>
      <c r="AA58" s="7">
        <f>(((((((((((AA46)+(AA47))+(AA48))+(AA49))+(AA50))+(AA51))+(AA52))+(AA53))+(AA54))+(AA55))+(AA56))+(AA57)</f>
        <v>579000</v>
      </c>
      <c r="AB58" s="7">
        <f t="shared" si="48"/>
        <v>-322615.29000000004</v>
      </c>
      <c r="AC58" s="8">
        <f t="shared" si="49"/>
        <v>0.44280606217616575</v>
      </c>
      <c r="AD58" s="7">
        <f t="shared" si="50"/>
        <v>989685.29</v>
      </c>
      <c r="AE58" s="7">
        <f t="shared" si="51"/>
        <v>1407450</v>
      </c>
      <c r="AF58" s="7">
        <f t="shared" si="52"/>
        <v>-417764.70999999996</v>
      </c>
      <c r="AG58" s="8">
        <f t="shared" si="53"/>
        <v>0.70317616256350135</v>
      </c>
    </row>
    <row r="59" spans="1:33" x14ac:dyDescent="0.25">
      <c r="A59" s="3" t="s">
        <v>63</v>
      </c>
      <c r="B59" s="7">
        <f>B58</f>
        <v>0</v>
      </c>
      <c r="C59" s="7">
        <f>C58</f>
        <v>0</v>
      </c>
      <c r="D59" s="7">
        <f t="shared" si="36"/>
        <v>0</v>
      </c>
      <c r="E59" s="8" t="str">
        <f t="shared" si="37"/>
        <v/>
      </c>
      <c r="F59" s="7">
        <f>F58</f>
        <v>0</v>
      </c>
      <c r="G59" s="7">
        <f>G58</f>
        <v>0</v>
      </c>
      <c r="H59" s="7">
        <f t="shared" si="38"/>
        <v>0</v>
      </c>
      <c r="I59" s="8" t="str">
        <f t="shared" si="39"/>
        <v/>
      </c>
      <c r="J59" s="7">
        <f>J58</f>
        <v>87791.03</v>
      </c>
      <c r="K59" s="7">
        <f>K58</f>
        <v>95000</v>
      </c>
      <c r="L59" s="7">
        <f t="shared" si="40"/>
        <v>-7208.9700000000012</v>
      </c>
      <c r="M59" s="8">
        <f t="shared" si="41"/>
        <v>0.92411610526315791</v>
      </c>
      <c r="N59" s="7">
        <f>N58</f>
        <v>645252.66</v>
      </c>
      <c r="O59" s="7">
        <f>O58</f>
        <v>730450</v>
      </c>
      <c r="P59" s="7">
        <f t="shared" si="42"/>
        <v>-85197.339999999967</v>
      </c>
      <c r="Q59" s="8">
        <f t="shared" si="43"/>
        <v>0.88336321445684174</v>
      </c>
      <c r="R59" s="7">
        <f>R58</f>
        <v>0</v>
      </c>
      <c r="S59" s="7">
        <f>S58</f>
        <v>0</v>
      </c>
      <c r="T59" s="7">
        <f t="shared" si="44"/>
        <v>0</v>
      </c>
      <c r="U59" s="8" t="str">
        <f t="shared" si="45"/>
        <v/>
      </c>
      <c r="V59" s="7">
        <f>V58</f>
        <v>256.89</v>
      </c>
      <c r="W59" s="7">
        <f>W58</f>
        <v>3000</v>
      </c>
      <c r="X59" s="7">
        <f t="shared" si="46"/>
        <v>-2743.11</v>
      </c>
      <c r="Y59" s="8">
        <f t="shared" si="47"/>
        <v>8.5629999999999998E-2</v>
      </c>
      <c r="Z59" s="7">
        <f>Z58</f>
        <v>256384.70999999996</v>
      </c>
      <c r="AA59" s="7">
        <f>AA58</f>
        <v>579000</v>
      </c>
      <c r="AB59" s="7">
        <f t="shared" si="48"/>
        <v>-322615.29000000004</v>
      </c>
      <c r="AC59" s="8">
        <f t="shared" si="49"/>
        <v>0.44280606217616575</v>
      </c>
      <c r="AD59" s="7">
        <f t="shared" si="50"/>
        <v>989685.29</v>
      </c>
      <c r="AE59" s="7">
        <f t="shared" si="51"/>
        <v>1407450</v>
      </c>
      <c r="AF59" s="7">
        <f t="shared" si="52"/>
        <v>-417764.70999999996</v>
      </c>
      <c r="AG59" s="8">
        <f t="shared" si="53"/>
        <v>0.70317616256350135</v>
      </c>
    </row>
    <row r="60" spans="1:33" x14ac:dyDescent="0.25">
      <c r="A60" s="3" t="s">
        <v>64</v>
      </c>
      <c r="B60" s="7">
        <f>(B44)-(B59)</f>
        <v>476487.06</v>
      </c>
      <c r="C60" s="7">
        <f>(C44)-(C59)</f>
        <v>452431</v>
      </c>
      <c r="D60" s="7">
        <f t="shared" si="36"/>
        <v>24056.059999999998</v>
      </c>
      <c r="E60" s="8">
        <f t="shared" si="37"/>
        <v>1.0531706713288878</v>
      </c>
      <c r="F60" s="7">
        <f>(F44)-(F59)</f>
        <v>707</v>
      </c>
      <c r="G60" s="7">
        <f>(G44)-(G59)</f>
        <v>2100</v>
      </c>
      <c r="H60" s="7">
        <f t="shared" si="38"/>
        <v>-1393</v>
      </c>
      <c r="I60" s="8">
        <f t="shared" si="39"/>
        <v>0.33666666666666667</v>
      </c>
      <c r="J60" s="7">
        <f>(J44)-(J59)</f>
        <v>30835.300000000003</v>
      </c>
      <c r="K60" s="7">
        <f>(K44)-(K59)</f>
        <v>25200</v>
      </c>
      <c r="L60" s="7">
        <f t="shared" si="40"/>
        <v>5635.3000000000029</v>
      </c>
      <c r="M60" s="8">
        <f t="shared" si="41"/>
        <v>1.2236230158730159</v>
      </c>
      <c r="N60" s="7">
        <f>(N44)-(N59)</f>
        <v>250630.49</v>
      </c>
      <c r="O60" s="7">
        <f>(O44)-(O59)</f>
        <v>181550</v>
      </c>
      <c r="P60" s="7">
        <f t="shared" si="42"/>
        <v>69080.489999999991</v>
      </c>
      <c r="Q60" s="8">
        <f t="shared" si="43"/>
        <v>1.3805039383090056</v>
      </c>
      <c r="R60" s="7">
        <f>(R44)-(R59)</f>
        <v>3350</v>
      </c>
      <c r="S60" s="7">
        <f>(S44)-(S59)</f>
        <v>3000</v>
      </c>
      <c r="T60" s="7">
        <f t="shared" si="44"/>
        <v>350</v>
      </c>
      <c r="U60" s="8">
        <f t="shared" si="45"/>
        <v>1.1166666666666667</v>
      </c>
      <c r="V60" s="7">
        <f>(V44)-(V59)</f>
        <v>-256.89</v>
      </c>
      <c r="W60" s="7">
        <f>(W44)-(W59)</f>
        <v>-3000</v>
      </c>
      <c r="X60" s="7">
        <f t="shared" si="46"/>
        <v>2743.11</v>
      </c>
      <c r="Y60" s="8">
        <f t="shared" si="47"/>
        <v>8.5629999999999998E-2</v>
      </c>
      <c r="Z60" s="7">
        <f>(Z44)-(Z59)</f>
        <v>264594.83</v>
      </c>
      <c r="AA60" s="7">
        <f>(AA44)-(AA59)</f>
        <v>202700</v>
      </c>
      <c r="AB60" s="7">
        <f t="shared" si="48"/>
        <v>61894.830000000016</v>
      </c>
      <c r="AC60" s="8">
        <f t="shared" si="49"/>
        <v>1.3053518993586581</v>
      </c>
      <c r="AD60" s="7">
        <f t="shared" si="50"/>
        <v>1026347.79</v>
      </c>
      <c r="AE60" s="7">
        <f t="shared" si="51"/>
        <v>863981</v>
      </c>
      <c r="AF60" s="7">
        <f t="shared" si="52"/>
        <v>162366.79000000004</v>
      </c>
      <c r="AG60" s="8">
        <f t="shared" si="53"/>
        <v>1.1879286581533621</v>
      </c>
    </row>
    <row r="61" spans="1:33" s="18" customFormat="1" x14ac:dyDescent="0.25">
      <c r="A61" s="16" t="s">
        <v>65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spans="1:33" x14ac:dyDescent="0.25">
      <c r="A62" s="3" t="s">
        <v>66</v>
      </c>
      <c r="B62" s="4"/>
      <c r="C62" s="4"/>
      <c r="D62" s="5">
        <f t="shared" ref="D62:D93" si="54">(B62)-(C62)</f>
        <v>0</v>
      </c>
      <c r="E62" s="6" t="str">
        <f t="shared" ref="E62:E93" si="55">IF(C62=0,"",(B62)/(C62))</f>
        <v/>
      </c>
      <c r="F62" s="4"/>
      <c r="G62" s="4"/>
      <c r="H62" s="5">
        <f t="shared" ref="H62:H93" si="56">(F62)-(G62)</f>
        <v>0</v>
      </c>
      <c r="I62" s="6" t="str">
        <f t="shared" ref="I62:I93" si="57">IF(G62=0,"",(F62)/(G62))</f>
        <v/>
      </c>
      <c r="J62" s="4"/>
      <c r="K62" s="4"/>
      <c r="L62" s="5">
        <f t="shared" ref="L62:L93" si="58">(J62)-(K62)</f>
        <v>0</v>
      </c>
      <c r="M62" s="6" t="str">
        <f t="shared" ref="M62:M93" si="59">IF(K62=0,"",(J62)/(K62))</f>
        <v/>
      </c>
      <c r="N62" s="4"/>
      <c r="O62" s="4"/>
      <c r="P62" s="5">
        <f t="shared" ref="P62:P93" si="60">(N62)-(O62)</f>
        <v>0</v>
      </c>
      <c r="Q62" s="6" t="str">
        <f t="shared" ref="Q62:Q93" si="61">IF(O62=0,"",(N62)/(O62))</f>
        <v/>
      </c>
      <c r="R62" s="4"/>
      <c r="S62" s="4"/>
      <c r="T62" s="5">
        <f t="shared" ref="T62:T93" si="62">(R62)-(S62)</f>
        <v>0</v>
      </c>
      <c r="U62" s="6" t="str">
        <f t="shared" ref="U62:U93" si="63">IF(S62=0,"",(R62)/(S62))</f>
        <v/>
      </c>
      <c r="V62" s="4"/>
      <c r="W62" s="4"/>
      <c r="X62" s="5">
        <f t="shared" ref="X62:X93" si="64">(V62)-(W62)</f>
        <v>0</v>
      </c>
      <c r="Y62" s="6" t="str">
        <f t="shared" ref="Y62:Y93" si="65">IF(W62=0,"",(V62)/(W62))</f>
        <v/>
      </c>
      <c r="Z62" s="4"/>
      <c r="AA62" s="4"/>
      <c r="AB62" s="5">
        <f t="shared" ref="AB62:AB93" si="66">(Z62)-(AA62)</f>
        <v>0</v>
      </c>
      <c r="AC62" s="6" t="str">
        <f t="shared" ref="AC62:AC93" si="67">IF(AA62=0,"",(Z62)/(AA62))</f>
        <v/>
      </c>
      <c r="AD62" s="5">
        <f t="shared" ref="AD62:AD93" si="68">((((((B62)+(F62))+(J62))+(N62))+(R62))+(V62))+(Z62)</f>
        <v>0</v>
      </c>
      <c r="AE62" s="5">
        <f t="shared" ref="AE62:AE93" si="69">((((((C62)+(G62))+(K62))+(O62))+(S62))+(W62))+(AA62)</f>
        <v>0</v>
      </c>
      <c r="AF62" s="5">
        <f t="shared" ref="AF62:AF93" si="70">(AD62)-(AE62)</f>
        <v>0</v>
      </c>
      <c r="AG62" s="6" t="str">
        <f t="shared" ref="AG62:AG93" si="71">IF(AE62=0,"",(AD62)/(AE62))</f>
        <v/>
      </c>
    </row>
    <row r="63" spans="1:33" s="30" customFormat="1" x14ac:dyDescent="0.25">
      <c r="A63" s="26" t="s">
        <v>67</v>
      </c>
      <c r="B63" s="27"/>
      <c r="C63" s="27"/>
      <c r="D63" s="28">
        <f t="shared" si="54"/>
        <v>0</v>
      </c>
      <c r="E63" s="29" t="str">
        <f t="shared" si="55"/>
        <v/>
      </c>
      <c r="F63" s="28">
        <v>20</v>
      </c>
      <c r="G63" s="28">
        <v>100</v>
      </c>
      <c r="H63" s="28">
        <f t="shared" si="56"/>
        <v>-80</v>
      </c>
      <c r="I63" s="29">
        <f t="shared" si="57"/>
        <v>0.2</v>
      </c>
      <c r="J63" s="27"/>
      <c r="K63" s="27"/>
      <c r="L63" s="28">
        <f t="shared" si="58"/>
        <v>0</v>
      </c>
      <c r="M63" s="29" t="str">
        <f t="shared" si="59"/>
        <v/>
      </c>
      <c r="N63" s="27"/>
      <c r="O63" s="27"/>
      <c r="P63" s="28">
        <f t="shared" si="60"/>
        <v>0</v>
      </c>
      <c r="Q63" s="29" t="str">
        <f t="shared" si="61"/>
        <v/>
      </c>
      <c r="R63" s="27"/>
      <c r="S63" s="27"/>
      <c r="T63" s="28">
        <f t="shared" si="62"/>
        <v>0</v>
      </c>
      <c r="U63" s="29" t="str">
        <f t="shared" si="63"/>
        <v/>
      </c>
      <c r="V63" s="27"/>
      <c r="W63" s="27"/>
      <c r="X63" s="28">
        <f t="shared" si="64"/>
        <v>0</v>
      </c>
      <c r="Y63" s="29" t="str">
        <f t="shared" si="65"/>
        <v/>
      </c>
      <c r="Z63" s="27"/>
      <c r="AA63" s="27"/>
      <c r="AB63" s="28">
        <f t="shared" si="66"/>
        <v>0</v>
      </c>
      <c r="AC63" s="29" t="str">
        <f t="shared" si="67"/>
        <v/>
      </c>
      <c r="AD63" s="28">
        <f t="shared" si="68"/>
        <v>20</v>
      </c>
      <c r="AE63" s="28">
        <f t="shared" si="69"/>
        <v>100</v>
      </c>
      <c r="AF63" s="28">
        <f t="shared" si="70"/>
        <v>-80</v>
      </c>
      <c r="AG63" s="29">
        <f t="shared" si="71"/>
        <v>0.2</v>
      </c>
    </row>
    <row r="64" spans="1:33" s="30" customFormat="1" x14ac:dyDescent="0.25">
      <c r="A64" s="26" t="s">
        <v>68</v>
      </c>
      <c r="B64" s="27"/>
      <c r="C64" s="27"/>
      <c r="D64" s="28">
        <f t="shared" si="54"/>
        <v>0</v>
      </c>
      <c r="E64" s="29" t="str">
        <f t="shared" si="55"/>
        <v/>
      </c>
      <c r="F64" s="28">
        <f>990</f>
        <v>990</v>
      </c>
      <c r="G64" s="28">
        <v>990</v>
      </c>
      <c r="H64" s="28">
        <f t="shared" si="56"/>
        <v>0</v>
      </c>
      <c r="I64" s="29">
        <f t="shared" si="57"/>
        <v>1</v>
      </c>
      <c r="J64" s="27"/>
      <c r="K64" s="27"/>
      <c r="L64" s="28">
        <f t="shared" si="58"/>
        <v>0</v>
      </c>
      <c r="M64" s="29" t="str">
        <f t="shared" si="59"/>
        <v/>
      </c>
      <c r="N64" s="27"/>
      <c r="O64" s="27"/>
      <c r="P64" s="28">
        <f t="shared" si="60"/>
        <v>0</v>
      </c>
      <c r="Q64" s="29" t="str">
        <f t="shared" si="61"/>
        <v/>
      </c>
      <c r="R64" s="27"/>
      <c r="S64" s="27"/>
      <c r="T64" s="28">
        <f t="shared" si="62"/>
        <v>0</v>
      </c>
      <c r="U64" s="29" t="str">
        <f t="shared" si="63"/>
        <v/>
      </c>
      <c r="V64" s="27"/>
      <c r="W64" s="27"/>
      <c r="X64" s="28">
        <f t="shared" si="64"/>
        <v>0</v>
      </c>
      <c r="Y64" s="29" t="str">
        <f t="shared" si="65"/>
        <v/>
      </c>
      <c r="Z64" s="27"/>
      <c r="AA64" s="27"/>
      <c r="AB64" s="28">
        <f t="shared" si="66"/>
        <v>0</v>
      </c>
      <c r="AC64" s="29" t="str">
        <f t="shared" si="67"/>
        <v/>
      </c>
      <c r="AD64" s="28">
        <f t="shared" si="68"/>
        <v>990</v>
      </c>
      <c r="AE64" s="28">
        <f t="shared" si="69"/>
        <v>990</v>
      </c>
      <c r="AF64" s="28">
        <f t="shared" si="70"/>
        <v>0</v>
      </c>
      <c r="AG64" s="29">
        <f t="shared" si="71"/>
        <v>1</v>
      </c>
    </row>
    <row r="65" spans="1:33" s="30" customFormat="1" x14ac:dyDescent="0.25">
      <c r="A65" s="26" t="s">
        <v>69</v>
      </c>
      <c r="B65" s="27"/>
      <c r="C65" s="27"/>
      <c r="D65" s="28">
        <f t="shared" si="54"/>
        <v>0</v>
      </c>
      <c r="E65" s="29" t="str">
        <f t="shared" si="55"/>
        <v/>
      </c>
      <c r="F65" s="28">
        <f>288.03</f>
        <v>288.02999999999997</v>
      </c>
      <c r="G65" s="28">
        <v>300</v>
      </c>
      <c r="H65" s="28">
        <f t="shared" si="56"/>
        <v>-11.970000000000027</v>
      </c>
      <c r="I65" s="29">
        <f t="shared" si="57"/>
        <v>0.96009999999999995</v>
      </c>
      <c r="J65" s="27"/>
      <c r="K65" s="27"/>
      <c r="L65" s="28">
        <f t="shared" si="58"/>
        <v>0</v>
      </c>
      <c r="M65" s="29" t="str">
        <f t="shared" si="59"/>
        <v/>
      </c>
      <c r="N65" s="27"/>
      <c r="O65" s="27"/>
      <c r="P65" s="28">
        <f t="shared" si="60"/>
        <v>0</v>
      </c>
      <c r="Q65" s="29" t="str">
        <f t="shared" si="61"/>
        <v/>
      </c>
      <c r="R65" s="27"/>
      <c r="S65" s="27"/>
      <c r="T65" s="28">
        <f t="shared" si="62"/>
        <v>0</v>
      </c>
      <c r="U65" s="29" t="str">
        <f t="shared" si="63"/>
        <v/>
      </c>
      <c r="V65" s="27"/>
      <c r="W65" s="27"/>
      <c r="X65" s="28">
        <f t="shared" si="64"/>
        <v>0</v>
      </c>
      <c r="Y65" s="29" t="str">
        <f t="shared" si="65"/>
        <v/>
      </c>
      <c r="Z65" s="27"/>
      <c r="AA65" s="27"/>
      <c r="AB65" s="28">
        <f t="shared" si="66"/>
        <v>0</v>
      </c>
      <c r="AC65" s="29" t="str">
        <f t="shared" si="67"/>
        <v/>
      </c>
      <c r="AD65" s="28">
        <f t="shared" si="68"/>
        <v>288.02999999999997</v>
      </c>
      <c r="AE65" s="28">
        <f t="shared" si="69"/>
        <v>300</v>
      </c>
      <c r="AF65" s="28">
        <f t="shared" si="70"/>
        <v>-11.970000000000027</v>
      </c>
      <c r="AG65" s="29">
        <f t="shared" si="71"/>
        <v>0.96009999999999995</v>
      </c>
    </row>
    <row r="66" spans="1:33" s="30" customFormat="1" x14ac:dyDescent="0.25">
      <c r="A66" s="26" t="s">
        <v>70</v>
      </c>
      <c r="B66" s="27"/>
      <c r="C66" s="27"/>
      <c r="D66" s="28">
        <f t="shared" si="54"/>
        <v>0</v>
      </c>
      <c r="E66" s="29" t="str">
        <f t="shared" si="55"/>
        <v/>
      </c>
      <c r="F66" s="28">
        <v>170.37</v>
      </c>
      <c r="G66" s="28">
        <v>300</v>
      </c>
      <c r="H66" s="28">
        <f t="shared" si="56"/>
        <v>-129.63</v>
      </c>
      <c r="I66" s="29">
        <f t="shared" si="57"/>
        <v>0.56789999999999996</v>
      </c>
      <c r="J66" s="27"/>
      <c r="K66" s="27"/>
      <c r="L66" s="28">
        <f t="shared" si="58"/>
        <v>0</v>
      </c>
      <c r="M66" s="29" t="str">
        <f t="shared" si="59"/>
        <v/>
      </c>
      <c r="N66" s="27"/>
      <c r="O66" s="27"/>
      <c r="P66" s="28">
        <f t="shared" si="60"/>
        <v>0</v>
      </c>
      <c r="Q66" s="29" t="str">
        <f t="shared" si="61"/>
        <v/>
      </c>
      <c r="R66" s="27"/>
      <c r="S66" s="27"/>
      <c r="T66" s="28">
        <f t="shared" si="62"/>
        <v>0</v>
      </c>
      <c r="U66" s="29" t="str">
        <f t="shared" si="63"/>
        <v/>
      </c>
      <c r="V66" s="27"/>
      <c r="W66" s="27"/>
      <c r="X66" s="28">
        <f t="shared" si="64"/>
        <v>0</v>
      </c>
      <c r="Y66" s="29" t="str">
        <f t="shared" si="65"/>
        <v/>
      </c>
      <c r="Z66" s="27"/>
      <c r="AA66" s="27"/>
      <c r="AB66" s="28">
        <f t="shared" si="66"/>
        <v>0</v>
      </c>
      <c r="AC66" s="29" t="str">
        <f t="shared" si="67"/>
        <v/>
      </c>
      <c r="AD66" s="28">
        <f t="shared" si="68"/>
        <v>170.37</v>
      </c>
      <c r="AE66" s="28">
        <f t="shared" si="69"/>
        <v>300</v>
      </c>
      <c r="AF66" s="28">
        <f t="shared" si="70"/>
        <v>-129.63</v>
      </c>
      <c r="AG66" s="29">
        <f t="shared" si="71"/>
        <v>0.56789999999999996</v>
      </c>
    </row>
    <row r="67" spans="1:33" x14ac:dyDescent="0.25">
      <c r="A67" s="3" t="s">
        <v>71</v>
      </c>
      <c r="B67" s="7">
        <f>((((B62)+(B63))+(B64))+(B65))+(B66)</f>
        <v>0</v>
      </c>
      <c r="C67" s="7">
        <f>((((C62)+(C63))+(C64))+(C65))+(C66)</f>
        <v>0</v>
      </c>
      <c r="D67" s="7">
        <f t="shared" si="54"/>
        <v>0</v>
      </c>
      <c r="E67" s="8" t="str">
        <f t="shared" si="55"/>
        <v/>
      </c>
      <c r="F67" s="7">
        <f>((((F62)+(F63))+(F64))+(F65))+(F66)</f>
        <v>1468.4</v>
      </c>
      <c r="G67" s="7">
        <f>((((G62)+(G63))+(G64))+(G65))+(G66)</f>
        <v>1690</v>
      </c>
      <c r="H67" s="7">
        <f t="shared" si="56"/>
        <v>-221.59999999999991</v>
      </c>
      <c r="I67" s="8">
        <f t="shared" si="57"/>
        <v>0.86887573964497045</v>
      </c>
      <c r="J67" s="7">
        <f>((((J62)+(J63))+(J64))+(J65))+(J66)</f>
        <v>0</v>
      </c>
      <c r="K67" s="7">
        <f>((((K62)+(K63))+(K64))+(K65))+(K66)</f>
        <v>0</v>
      </c>
      <c r="L67" s="7">
        <f t="shared" si="58"/>
        <v>0</v>
      </c>
      <c r="M67" s="8" t="str">
        <f t="shared" si="59"/>
        <v/>
      </c>
      <c r="N67" s="7">
        <f>((((N62)+(N63))+(N64))+(N65))+(N66)</f>
        <v>0</v>
      </c>
      <c r="O67" s="7">
        <f>((((O62)+(O63))+(O64))+(O65))+(O66)</f>
        <v>0</v>
      </c>
      <c r="P67" s="7">
        <f t="shared" si="60"/>
        <v>0</v>
      </c>
      <c r="Q67" s="8" t="str">
        <f t="shared" si="61"/>
        <v/>
      </c>
      <c r="R67" s="7">
        <f>((((R62)+(R63))+(R64))+(R65))+(R66)</f>
        <v>0</v>
      </c>
      <c r="S67" s="7">
        <f>((((S62)+(S63))+(S64))+(S65))+(S66)</f>
        <v>0</v>
      </c>
      <c r="T67" s="7">
        <f t="shared" si="62"/>
        <v>0</v>
      </c>
      <c r="U67" s="8" t="str">
        <f t="shared" si="63"/>
        <v/>
      </c>
      <c r="V67" s="7">
        <f>((((V62)+(V63))+(V64))+(V65))+(V66)</f>
        <v>0</v>
      </c>
      <c r="W67" s="7">
        <f>((((W62)+(W63))+(W64))+(W65))+(W66)</f>
        <v>0</v>
      </c>
      <c r="X67" s="7">
        <f t="shared" si="64"/>
        <v>0</v>
      </c>
      <c r="Y67" s="8" t="str">
        <f t="shared" si="65"/>
        <v/>
      </c>
      <c r="Z67" s="7">
        <f>((((Z62)+(Z63))+(Z64))+(Z65))+(Z66)</f>
        <v>0</v>
      </c>
      <c r="AA67" s="7">
        <f>((((AA62)+(AA63))+(AA64))+(AA65))+(AA66)</f>
        <v>0</v>
      </c>
      <c r="AB67" s="7">
        <f t="shared" si="66"/>
        <v>0</v>
      </c>
      <c r="AC67" s="8" t="str">
        <f t="shared" si="67"/>
        <v/>
      </c>
      <c r="AD67" s="7">
        <f t="shared" si="68"/>
        <v>1468.4</v>
      </c>
      <c r="AE67" s="7">
        <f t="shared" si="69"/>
        <v>1690</v>
      </c>
      <c r="AF67" s="7">
        <f t="shared" si="70"/>
        <v>-221.59999999999991</v>
      </c>
      <c r="AG67" s="8">
        <f t="shared" si="71"/>
        <v>0.86887573964497045</v>
      </c>
    </row>
    <row r="68" spans="1:33" s="15" customFormat="1" x14ac:dyDescent="0.25">
      <c r="A68" s="11" t="s">
        <v>72</v>
      </c>
      <c r="B68" s="12"/>
      <c r="C68" s="12"/>
      <c r="D68" s="13">
        <f t="shared" si="54"/>
        <v>0</v>
      </c>
      <c r="E68" s="14" t="str">
        <f t="shared" si="55"/>
        <v/>
      </c>
      <c r="F68" s="12"/>
      <c r="G68" s="12"/>
      <c r="H68" s="13">
        <f t="shared" si="56"/>
        <v>0</v>
      </c>
      <c r="I68" s="14" t="str">
        <f t="shared" si="57"/>
        <v/>
      </c>
      <c r="J68" s="12"/>
      <c r="K68" s="12"/>
      <c r="L68" s="13">
        <f t="shared" si="58"/>
        <v>0</v>
      </c>
      <c r="M68" s="14" t="str">
        <f t="shared" si="59"/>
        <v/>
      </c>
      <c r="N68" s="13">
        <v>521.5</v>
      </c>
      <c r="O68" s="13">
        <v>400</v>
      </c>
      <c r="P68" s="13">
        <f t="shared" si="60"/>
        <v>121.5</v>
      </c>
      <c r="Q68" s="14">
        <f t="shared" si="61"/>
        <v>1.30375</v>
      </c>
      <c r="R68" s="12"/>
      <c r="S68" s="12"/>
      <c r="T68" s="13">
        <f t="shared" si="62"/>
        <v>0</v>
      </c>
      <c r="U68" s="14" t="str">
        <f t="shared" si="63"/>
        <v/>
      </c>
      <c r="V68" s="12"/>
      <c r="W68" s="12"/>
      <c r="X68" s="13">
        <f t="shared" si="64"/>
        <v>0</v>
      </c>
      <c r="Y68" s="14" t="str">
        <f t="shared" si="65"/>
        <v/>
      </c>
      <c r="Z68" s="13">
        <f>159.14</f>
        <v>159.13999999999999</v>
      </c>
      <c r="AA68" s="13">
        <f>300</f>
        <v>300</v>
      </c>
      <c r="AB68" s="13">
        <f t="shared" si="66"/>
        <v>-140.86000000000001</v>
      </c>
      <c r="AC68" s="14">
        <f t="shared" si="67"/>
        <v>0.53046666666666664</v>
      </c>
      <c r="AD68" s="13">
        <f t="shared" si="68"/>
        <v>680.64</v>
      </c>
      <c r="AE68" s="13">
        <f t="shared" si="69"/>
        <v>700</v>
      </c>
      <c r="AF68" s="13">
        <f t="shared" si="70"/>
        <v>-19.360000000000014</v>
      </c>
      <c r="AG68" s="14">
        <f t="shared" si="71"/>
        <v>0.97234285714285718</v>
      </c>
    </row>
    <row r="69" spans="1:33" x14ac:dyDescent="0.25">
      <c r="A69" s="3" t="s">
        <v>73</v>
      </c>
      <c r="B69" s="5">
        <f>385</f>
        <v>385</v>
      </c>
      <c r="C69" s="5">
        <v>800</v>
      </c>
      <c r="D69" s="5">
        <f t="shared" si="54"/>
        <v>-415</v>
      </c>
      <c r="E69" s="6">
        <f t="shared" si="55"/>
        <v>0.48125000000000001</v>
      </c>
      <c r="F69" s="4"/>
      <c r="G69" s="4"/>
      <c r="H69" s="5">
        <f t="shared" si="56"/>
        <v>0</v>
      </c>
      <c r="I69" s="6" t="str">
        <f t="shared" si="57"/>
        <v/>
      </c>
      <c r="J69" s="4"/>
      <c r="K69" s="4"/>
      <c r="L69" s="5">
        <f t="shared" si="58"/>
        <v>0</v>
      </c>
      <c r="M69" s="6" t="str">
        <f t="shared" si="59"/>
        <v/>
      </c>
      <c r="N69" s="4"/>
      <c r="O69" s="4"/>
      <c r="P69" s="5">
        <f t="shared" si="60"/>
        <v>0</v>
      </c>
      <c r="Q69" s="6" t="str">
        <f t="shared" si="61"/>
        <v/>
      </c>
      <c r="R69" s="4"/>
      <c r="S69" s="4"/>
      <c r="T69" s="5">
        <f t="shared" si="62"/>
        <v>0</v>
      </c>
      <c r="U69" s="6" t="str">
        <f t="shared" si="63"/>
        <v/>
      </c>
      <c r="V69" s="4"/>
      <c r="W69" s="4"/>
      <c r="X69" s="5">
        <f t="shared" si="64"/>
        <v>0</v>
      </c>
      <c r="Y69" s="6" t="str">
        <f t="shared" si="65"/>
        <v/>
      </c>
      <c r="Z69" s="4"/>
      <c r="AA69" s="4"/>
      <c r="AB69" s="5">
        <f t="shared" si="66"/>
        <v>0</v>
      </c>
      <c r="AC69" s="6" t="str">
        <f t="shared" si="67"/>
        <v/>
      </c>
      <c r="AD69" s="5">
        <f t="shared" si="68"/>
        <v>385</v>
      </c>
      <c r="AE69" s="5">
        <f t="shared" si="69"/>
        <v>800</v>
      </c>
      <c r="AF69" s="5">
        <f t="shared" si="70"/>
        <v>-415</v>
      </c>
      <c r="AG69" s="6">
        <f t="shared" si="71"/>
        <v>0.48125000000000001</v>
      </c>
    </row>
    <row r="70" spans="1:33" s="15" customFormat="1" x14ac:dyDescent="0.25">
      <c r="A70" s="11" t="s">
        <v>74</v>
      </c>
      <c r="B70" s="13">
        <f>311.28</f>
        <v>311.27999999999997</v>
      </c>
      <c r="C70" s="13">
        <f>400</f>
        <v>400</v>
      </c>
      <c r="D70" s="13">
        <f t="shared" si="54"/>
        <v>-88.720000000000027</v>
      </c>
      <c r="E70" s="14">
        <f t="shared" si="55"/>
        <v>0.77819999999999989</v>
      </c>
      <c r="F70" s="13">
        <f>119.62</f>
        <v>119.62</v>
      </c>
      <c r="G70" s="13">
        <f>375</f>
        <v>375</v>
      </c>
      <c r="H70" s="13">
        <f t="shared" si="56"/>
        <v>-255.38</v>
      </c>
      <c r="I70" s="14">
        <f t="shared" si="57"/>
        <v>0.3189866666666667</v>
      </c>
      <c r="J70" s="12"/>
      <c r="K70" s="12"/>
      <c r="L70" s="13">
        <f t="shared" si="58"/>
        <v>0</v>
      </c>
      <c r="M70" s="14" t="str">
        <f t="shared" si="59"/>
        <v/>
      </c>
      <c r="N70" s="13">
        <f>311.28</f>
        <v>311.27999999999997</v>
      </c>
      <c r="O70" s="13">
        <f>400</f>
        <v>400</v>
      </c>
      <c r="P70" s="13">
        <f t="shared" si="60"/>
        <v>-88.720000000000027</v>
      </c>
      <c r="Q70" s="14">
        <f t="shared" si="61"/>
        <v>0.77819999999999989</v>
      </c>
      <c r="R70" s="12"/>
      <c r="S70" s="12"/>
      <c r="T70" s="13">
        <f t="shared" si="62"/>
        <v>0</v>
      </c>
      <c r="U70" s="14" t="str">
        <f t="shared" si="63"/>
        <v/>
      </c>
      <c r="V70" s="12"/>
      <c r="W70" s="12"/>
      <c r="X70" s="13">
        <f t="shared" si="64"/>
        <v>0</v>
      </c>
      <c r="Y70" s="14" t="str">
        <f t="shared" si="65"/>
        <v/>
      </c>
      <c r="Z70" s="13">
        <f>311.28</f>
        <v>311.27999999999997</v>
      </c>
      <c r="AA70" s="13">
        <f>375</f>
        <v>375</v>
      </c>
      <c r="AB70" s="13">
        <f t="shared" si="66"/>
        <v>-63.720000000000027</v>
      </c>
      <c r="AC70" s="14">
        <f t="shared" si="67"/>
        <v>0.83007999999999993</v>
      </c>
      <c r="AD70" s="13">
        <f t="shared" si="68"/>
        <v>1053.46</v>
      </c>
      <c r="AE70" s="13">
        <f t="shared" si="69"/>
        <v>1550</v>
      </c>
      <c r="AF70" s="13">
        <f t="shared" si="70"/>
        <v>-496.53999999999996</v>
      </c>
      <c r="AG70" s="14">
        <f t="shared" si="71"/>
        <v>0.67965161290322584</v>
      </c>
    </row>
    <row r="71" spans="1:33" x14ac:dyDescent="0.25">
      <c r="A71" s="3" t="s">
        <v>75</v>
      </c>
      <c r="B71" s="5">
        <f>878.25</f>
        <v>878.25</v>
      </c>
      <c r="C71" s="5">
        <f>1000</f>
        <v>1000</v>
      </c>
      <c r="D71" s="5">
        <f t="shared" si="54"/>
        <v>-121.75</v>
      </c>
      <c r="E71" s="6">
        <f t="shared" si="55"/>
        <v>0.87824999999999998</v>
      </c>
      <c r="F71" s="4"/>
      <c r="G71" s="4"/>
      <c r="H71" s="5">
        <f t="shared" si="56"/>
        <v>0</v>
      </c>
      <c r="I71" s="6" t="str">
        <f t="shared" si="57"/>
        <v/>
      </c>
      <c r="J71" s="4"/>
      <c r="K71" s="4"/>
      <c r="L71" s="5">
        <f t="shared" si="58"/>
        <v>0</v>
      </c>
      <c r="M71" s="6" t="str">
        <f t="shared" si="59"/>
        <v/>
      </c>
      <c r="N71" s="4"/>
      <c r="O71" s="4"/>
      <c r="P71" s="5">
        <f t="shared" si="60"/>
        <v>0</v>
      </c>
      <c r="Q71" s="6" t="str">
        <f t="shared" si="61"/>
        <v/>
      </c>
      <c r="R71" s="4"/>
      <c r="S71" s="4"/>
      <c r="T71" s="5">
        <f t="shared" si="62"/>
        <v>0</v>
      </c>
      <c r="U71" s="6" t="str">
        <f t="shared" si="63"/>
        <v/>
      </c>
      <c r="V71" s="4"/>
      <c r="W71" s="4"/>
      <c r="X71" s="5">
        <f t="shared" si="64"/>
        <v>0</v>
      </c>
      <c r="Y71" s="6" t="str">
        <f t="shared" si="65"/>
        <v/>
      </c>
      <c r="Z71" s="5">
        <f>265</f>
        <v>265</v>
      </c>
      <c r="AA71" s="4"/>
      <c r="AB71" s="5">
        <f t="shared" si="66"/>
        <v>265</v>
      </c>
      <c r="AC71" s="6" t="str">
        <f t="shared" si="67"/>
        <v/>
      </c>
      <c r="AD71" s="5">
        <f t="shared" si="68"/>
        <v>1143.25</v>
      </c>
      <c r="AE71" s="5">
        <f t="shared" si="69"/>
        <v>1000</v>
      </c>
      <c r="AF71" s="5">
        <f t="shared" si="70"/>
        <v>143.25</v>
      </c>
      <c r="AG71" s="6">
        <f t="shared" si="71"/>
        <v>1.1432500000000001</v>
      </c>
    </row>
    <row r="72" spans="1:33" x14ac:dyDescent="0.25">
      <c r="A72" s="3" t="s">
        <v>76</v>
      </c>
      <c r="B72" s="5">
        <f>415.93</f>
        <v>415.93</v>
      </c>
      <c r="C72" s="5">
        <v>525</v>
      </c>
      <c r="D72" s="5">
        <f t="shared" si="54"/>
        <v>-109.07</v>
      </c>
      <c r="E72" s="6">
        <f t="shared" si="55"/>
        <v>0.79224761904761909</v>
      </c>
      <c r="F72" s="5">
        <f>161.48</f>
        <v>161.47999999999999</v>
      </c>
      <c r="G72" s="5">
        <v>525</v>
      </c>
      <c r="H72" s="5">
        <f t="shared" si="56"/>
        <v>-363.52</v>
      </c>
      <c r="I72" s="6">
        <f t="shared" si="57"/>
        <v>0.30758095238095234</v>
      </c>
      <c r="J72" s="4"/>
      <c r="K72" s="4"/>
      <c r="L72" s="5">
        <f t="shared" si="58"/>
        <v>0</v>
      </c>
      <c r="M72" s="6" t="str">
        <f t="shared" si="59"/>
        <v/>
      </c>
      <c r="N72" s="5">
        <f>415.91</f>
        <v>415.91</v>
      </c>
      <c r="O72" s="5">
        <v>525</v>
      </c>
      <c r="P72" s="5">
        <f t="shared" si="60"/>
        <v>-109.08999999999997</v>
      </c>
      <c r="Q72" s="6">
        <f t="shared" si="61"/>
        <v>0.79220952380952381</v>
      </c>
      <c r="R72" s="4"/>
      <c r="S72" s="4"/>
      <c r="T72" s="5">
        <f t="shared" si="62"/>
        <v>0</v>
      </c>
      <c r="U72" s="6" t="str">
        <f t="shared" si="63"/>
        <v/>
      </c>
      <c r="V72" s="4"/>
      <c r="W72" s="4"/>
      <c r="X72" s="5">
        <f t="shared" si="64"/>
        <v>0</v>
      </c>
      <c r="Y72" s="6" t="str">
        <f t="shared" si="65"/>
        <v/>
      </c>
      <c r="Z72" s="5">
        <f>415.91</f>
        <v>415.91</v>
      </c>
      <c r="AA72" s="5">
        <v>525</v>
      </c>
      <c r="AB72" s="5">
        <f t="shared" si="66"/>
        <v>-109.08999999999997</v>
      </c>
      <c r="AC72" s="6">
        <f t="shared" si="67"/>
        <v>0.79220952380952381</v>
      </c>
      <c r="AD72" s="5">
        <f t="shared" si="68"/>
        <v>1409.23</v>
      </c>
      <c r="AE72" s="5">
        <f t="shared" si="69"/>
        <v>2100</v>
      </c>
      <c r="AF72" s="5">
        <f t="shared" si="70"/>
        <v>-690.77</v>
      </c>
      <c r="AG72" s="6">
        <f t="shared" si="71"/>
        <v>0.67106190476190475</v>
      </c>
    </row>
    <row r="73" spans="1:33" x14ac:dyDescent="0.25">
      <c r="A73" s="3" t="s">
        <v>77</v>
      </c>
      <c r="B73" s="4"/>
      <c r="C73" s="5">
        <v>8000</v>
      </c>
      <c r="D73" s="5">
        <f t="shared" si="54"/>
        <v>-8000</v>
      </c>
      <c r="E73" s="6">
        <f t="shared" si="55"/>
        <v>0</v>
      </c>
      <c r="F73" s="4"/>
      <c r="G73" s="4"/>
      <c r="H73" s="5">
        <f t="shared" si="56"/>
        <v>0</v>
      </c>
      <c r="I73" s="6" t="str">
        <f t="shared" si="57"/>
        <v/>
      </c>
      <c r="J73" s="4"/>
      <c r="K73" s="4"/>
      <c r="L73" s="5">
        <f t="shared" si="58"/>
        <v>0</v>
      </c>
      <c r="M73" s="6" t="str">
        <f t="shared" si="59"/>
        <v/>
      </c>
      <c r="N73" s="4"/>
      <c r="O73" s="4"/>
      <c r="P73" s="5">
        <f t="shared" si="60"/>
        <v>0</v>
      </c>
      <c r="Q73" s="6" t="str">
        <f t="shared" si="61"/>
        <v/>
      </c>
      <c r="R73" s="4"/>
      <c r="S73" s="4"/>
      <c r="T73" s="5">
        <f t="shared" si="62"/>
        <v>0</v>
      </c>
      <c r="U73" s="6" t="str">
        <f t="shared" si="63"/>
        <v/>
      </c>
      <c r="V73" s="4"/>
      <c r="W73" s="4"/>
      <c r="X73" s="5">
        <f t="shared" si="64"/>
        <v>0</v>
      </c>
      <c r="Y73" s="6" t="str">
        <f t="shared" si="65"/>
        <v/>
      </c>
      <c r="Z73" s="4"/>
      <c r="AA73" s="4"/>
      <c r="AB73" s="5">
        <f t="shared" si="66"/>
        <v>0</v>
      </c>
      <c r="AC73" s="6" t="str">
        <f t="shared" si="67"/>
        <v/>
      </c>
      <c r="AD73" s="5">
        <f t="shared" si="68"/>
        <v>0</v>
      </c>
      <c r="AE73" s="5">
        <f t="shared" si="69"/>
        <v>8000</v>
      </c>
      <c r="AF73" s="5">
        <f t="shared" si="70"/>
        <v>-8000</v>
      </c>
      <c r="AG73" s="6">
        <f t="shared" si="71"/>
        <v>0</v>
      </c>
    </row>
    <row r="74" spans="1:33" x14ac:dyDescent="0.25">
      <c r="A74" s="3" t="s">
        <v>78</v>
      </c>
      <c r="B74" s="4"/>
      <c r="C74" s="4"/>
      <c r="D74" s="5">
        <f t="shared" si="54"/>
        <v>0</v>
      </c>
      <c r="E74" s="6" t="str">
        <f t="shared" si="55"/>
        <v/>
      </c>
      <c r="F74" s="4"/>
      <c r="G74" s="4"/>
      <c r="H74" s="5">
        <f t="shared" si="56"/>
        <v>0</v>
      </c>
      <c r="I74" s="6" t="str">
        <f t="shared" si="57"/>
        <v/>
      </c>
      <c r="J74" s="4"/>
      <c r="K74" s="4"/>
      <c r="L74" s="5">
        <f t="shared" si="58"/>
        <v>0</v>
      </c>
      <c r="M74" s="6" t="str">
        <f t="shared" si="59"/>
        <v/>
      </c>
      <c r="N74" s="4"/>
      <c r="O74" s="4"/>
      <c r="P74" s="5">
        <f t="shared" si="60"/>
        <v>0</v>
      </c>
      <c r="Q74" s="6" t="str">
        <f t="shared" si="61"/>
        <v/>
      </c>
      <c r="R74" s="4"/>
      <c r="S74" s="4"/>
      <c r="T74" s="5">
        <f t="shared" si="62"/>
        <v>0</v>
      </c>
      <c r="U74" s="6" t="str">
        <f t="shared" si="63"/>
        <v/>
      </c>
      <c r="V74" s="4"/>
      <c r="W74" s="4"/>
      <c r="X74" s="5">
        <f t="shared" si="64"/>
        <v>0</v>
      </c>
      <c r="Y74" s="6" t="str">
        <f t="shared" si="65"/>
        <v/>
      </c>
      <c r="Z74" s="4"/>
      <c r="AA74" s="4"/>
      <c r="AB74" s="5">
        <f t="shared" si="66"/>
        <v>0</v>
      </c>
      <c r="AC74" s="6" t="str">
        <f t="shared" si="67"/>
        <v/>
      </c>
      <c r="AD74" s="5">
        <f t="shared" si="68"/>
        <v>0</v>
      </c>
      <c r="AE74" s="5">
        <f t="shared" si="69"/>
        <v>0</v>
      </c>
      <c r="AF74" s="5">
        <f t="shared" si="70"/>
        <v>0</v>
      </c>
      <c r="AG74" s="6" t="str">
        <f t="shared" si="71"/>
        <v/>
      </c>
    </row>
    <row r="75" spans="1:33" x14ac:dyDescent="0.25">
      <c r="A75" s="3" t="s">
        <v>79</v>
      </c>
      <c r="B75" s="5">
        <v>1366.25</v>
      </c>
      <c r="C75" s="5">
        <v>1400</v>
      </c>
      <c r="D75" s="5">
        <f t="shared" si="54"/>
        <v>-33.75</v>
      </c>
      <c r="E75" s="6">
        <f t="shared" si="55"/>
        <v>0.97589285714285712</v>
      </c>
      <c r="F75" s="5">
        <f>73.48</f>
        <v>73.48</v>
      </c>
      <c r="G75" s="5">
        <f>300</f>
        <v>300</v>
      </c>
      <c r="H75" s="5">
        <f t="shared" si="56"/>
        <v>-226.51999999999998</v>
      </c>
      <c r="I75" s="6">
        <f t="shared" si="57"/>
        <v>0.24493333333333334</v>
      </c>
      <c r="J75" s="4"/>
      <c r="K75" s="4"/>
      <c r="L75" s="5">
        <f t="shared" si="58"/>
        <v>0</v>
      </c>
      <c r="M75" s="6" t="str">
        <f t="shared" si="59"/>
        <v/>
      </c>
      <c r="N75" s="5">
        <f>220.2</f>
        <v>220.2</v>
      </c>
      <c r="O75" s="5">
        <f>350</f>
        <v>350</v>
      </c>
      <c r="P75" s="5">
        <f t="shared" si="60"/>
        <v>-129.80000000000001</v>
      </c>
      <c r="Q75" s="6">
        <f t="shared" si="61"/>
        <v>0.62914285714285711</v>
      </c>
      <c r="R75" s="4"/>
      <c r="S75" s="4"/>
      <c r="T75" s="5">
        <f t="shared" si="62"/>
        <v>0</v>
      </c>
      <c r="U75" s="6" t="str">
        <f t="shared" si="63"/>
        <v/>
      </c>
      <c r="V75" s="4"/>
      <c r="W75" s="4"/>
      <c r="X75" s="5">
        <f t="shared" si="64"/>
        <v>0</v>
      </c>
      <c r="Y75" s="6" t="str">
        <f t="shared" si="65"/>
        <v/>
      </c>
      <c r="Z75" s="5">
        <f>220.2</f>
        <v>220.2</v>
      </c>
      <c r="AA75" s="5">
        <f>350</f>
        <v>350</v>
      </c>
      <c r="AB75" s="5">
        <f t="shared" si="66"/>
        <v>-129.80000000000001</v>
      </c>
      <c r="AC75" s="6">
        <f t="shared" si="67"/>
        <v>0.62914285714285711</v>
      </c>
      <c r="AD75" s="5">
        <f t="shared" si="68"/>
        <v>1880.13</v>
      </c>
      <c r="AE75" s="5">
        <f t="shared" si="69"/>
        <v>2400</v>
      </c>
      <c r="AF75" s="5">
        <f t="shared" si="70"/>
        <v>-519.86999999999989</v>
      </c>
      <c r="AG75" s="6">
        <f t="shared" si="71"/>
        <v>0.78338750000000001</v>
      </c>
    </row>
    <row r="76" spans="1:33" x14ac:dyDescent="0.25">
      <c r="A76" s="3" t="s">
        <v>80</v>
      </c>
      <c r="B76" s="4"/>
      <c r="C76" s="4"/>
      <c r="D76" s="5">
        <f t="shared" si="54"/>
        <v>0</v>
      </c>
      <c r="E76" s="6" t="str">
        <f t="shared" si="55"/>
        <v/>
      </c>
      <c r="F76" s="4"/>
      <c r="G76" s="4"/>
      <c r="H76" s="5">
        <f t="shared" si="56"/>
        <v>0</v>
      </c>
      <c r="I76" s="6" t="str">
        <f t="shared" si="57"/>
        <v/>
      </c>
      <c r="J76" s="4"/>
      <c r="K76" s="4"/>
      <c r="L76" s="5">
        <f t="shared" si="58"/>
        <v>0</v>
      </c>
      <c r="M76" s="6" t="str">
        <f t="shared" si="59"/>
        <v/>
      </c>
      <c r="N76" s="4"/>
      <c r="O76" s="4"/>
      <c r="P76" s="5">
        <f t="shared" si="60"/>
        <v>0</v>
      </c>
      <c r="Q76" s="6" t="str">
        <f t="shared" si="61"/>
        <v/>
      </c>
      <c r="R76" s="5">
        <v>982.52</v>
      </c>
      <c r="S76" s="5">
        <v>1000</v>
      </c>
      <c r="T76" s="5">
        <f t="shared" si="62"/>
        <v>-17.480000000000018</v>
      </c>
      <c r="U76" s="6">
        <f t="shared" si="63"/>
        <v>0.98251999999999995</v>
      </c>
      <c r="V76" s="4"/>
      <c r="W76" s="4"/>
      <c r="X76" s="5">
        <f t="shared" si="64"/>
        <v>0</v>
      </c>
      <c r="Y76" s="6" t="str">
        <f t="shared" si="65"/>
        <v/>
      </c>
      <c r="Z76" s="4"/>
      <c r="AA76" s="4"/>
      <c r="AB76" s="5">
        <f t="shared" si="66"/>
        <v>0</v>
      </c>
      <c r="AC76" s="6" t="str">
        <f t="shared" si="67"/>
        <v/>
      </c>
      <c r="AD76" s="5">
        <f t="shared" si="68"/>
        <v>982.52</v>
      </c>
      <c r="AE76" s="5">
        <f t="shared" si="69"/>
        <v>1000</v>
      </c>
      <c r="AF76" s="5">
        <f t="shared" si="70"/>
        <v>-17.480000000000018</v>
      </c>
      <c r="AG76" s="6">
        <f t="shared" si="71"/>
        <v>0.98251999999999995</v>
      </c>
    </row>
    <row r="77" spans="1:33" x14ac:dyDescent="0.25">
      <c r="A77" s="3" t="s">
        <v>81</v>
      </c>
      <c r="B77" s="4"/>
      <c r="C77" s="4"/>
      <c r="D77" s="5">
        <f t="shared" si="54"/>
        <v>0</v>
      </c>
      <c r="E77" s="6" t="str">
        <f t="shared" si="55"/>
        <v/>
      </c>
      <c r="F77" s="4"/>
      <c r="G77" s="4"/>
      <c r="H77" s="5">
        <f t="shared" si="56"/>
        <v>0</v>
      </c>
      <c r="I77" s="6" t="str">
        <f t="shared" si="57"/>
        <v/>
      </c>
      <c r="J77" s="4"/>
      <c r="K77" s="4"/>
      <c r="L77" s="5">
        <f t="shared" si="58"/>
        <v>0</v>
      </c>
      <c r="M77" s="6" t="str">
        <f t="shared" si="59"/>
        <v/>
      </c>
      <c r="N77" s="5">
        <v>1506.07</v>
      </c>
      <c r="O77" s="5">
        <v>1600</v>
      </c>
      <c r="P77" s="5">
        <f t="shared" si="60"/>
        <v>-93.930000000000064</v>
      </c>
      <c r="Q77" s="6">
        <f t="shared" si="61"/>
        <v>0.94129374999999993</v>
      </c>
      <c r="R77" s="4"/>
      <c r="S77" s="4"/>
      <c r="T77" s="5">
        <f t="shared" si="62"/>
        <v>0</v>
      </c>
      <c r="U77" s="6" t="str">
        <f t="shared" si="63"/>
        <v/>
      </c>
      <c r="V77" s="4"/>
      <c r="W77" s="4"/>
      <c r="X77" s="5">
        <f t="shared" si="64"/>
        <v>0</v>
      </c>
      <c r="Y77" s="6" t="str">
        <f t="shared" si="65"/>
        <v/>
      </c>
      <c r="Z77" s="5">
        <f>264.47</f>
        <v>264.47000000000003</v>
      </c>
      <c r="AA77" s="5">
        <f>600</f>
        <v>600</v>
      </c>
      <c r="AB77" s="5">
        <f t="shared" si="66"/>
        <v>-335.53</v>
      </c>
      <c r="AC77" s="6">
        <f t="shared" si="67"/>
        <v>0.44078333333333336</v>
      </c>
      <c r="AD77" s="5">
        <f t="shared" si="68"/>
        <v>1770.54</v>
      </c>
      <c r="AE77" s="5">
        <f t="shared" si="69"/>
        <v>2200</v>
      </c>
      <c r="AF77" s="5">
        <f t="shared" si="70"/>
        <v>-429.46000000000004</v>
      </c>
      <c r="AG77" s="6">
        <f t="shared" si="71"/>
        <v>0.80479090909090911</v>
      </c>
    </row>
    <row r="78" spans="1:33" x14ac:dyDescent="0.25">
      <c r="A78" s="3" t="s">
        <v>82</v>
      </c>
      <c r="B78" s="4"/>
      <c r="C78" s="4"/>
      <c r="D78" s="5">
        <f t="shared" si="54"/>
        <v>0</v>
      </c>
      <c r="E78" s="6" t="str">
        <f t="shared" si="55"/>
        <v/>
      </c>
      <c r="F78" s="4"/>
      <c r="G78" s="4"/>
      <c r="H78" s="5">
        <f t="shared" si="56"/>
        <v>0</v>
      </c>
      <c r="I78" s="6" t="str">
        <f t="shared" si="57"/>
        <v/>
      </c>
      <c r="J78" s="4"/>
      <c r="K78" s="4"/>
      <c r="L78" s="5">
        <f t="shared" si="58"/>
        <v>0</v>
      </c>
      <c r="M78" s="6" t="str">
        <f t="shared" si="59"/>
        <v/>
      </c>
      <c r="N78" s="4"/>
      <c r="O78" s="4"/>
      <c r="P78" s="5">
        <f t="shared" si="60"/>
        <v>0</v>
      </c>
      <c r="Q78" s="6" t="str">
        <f t="shared" si="61"/>
        <v/>
      </c>
      <c r="R78" s="4"/>
      <c r="S78" s="4"/>
      <c r="T78" s="5">
        <f t="shared" si="62"/>
        <v>0</v>
      </c>
      <c r="U78" s="6" t="str">
        <f t="shared" si="63"/>
        <v/>
      </c>
      <c r="V78" s="5">
        <v>11295.57</v>
      </c>
      <c r="W78" s="5">
        <v>12000</v>
      </c>
      <c r="X78" s="5">
        <f t="shared" si="64"/>
        <v>-704.43000000000029</v>
      </c>
      <c r="Y78" s="6">
        <f t="shared" si="65"/>
        <v>0.94129750000000001</v>
      </c>
      <c r="Z78" s="4"/>
      <c r="AA78" s="4"/>
      <c r="AB78" s="5">
        <f t="shared" si="66"/>
        <v>0</v>
      </c>
      <c r="AC78" s="6" t="str">
        <f t="shared" si="67"/>
        <v/>
      </c>
      <c r="AD78" s="5">
        <f t="shared" si="68"/>
        <v>11295.57</v>
      </c>
      <c r="AE78" s="5">
        <f t="shared" si="69"/>
        <v>12000</v>
      </c>
      <c r="AF78" s="5">
        <f t="shared" si="70"/>
        <v>-704.43000000000029</v>
      </c>
      <c r="AG78" s="6">
        <f t="shared" si="71"/>
        <v>0.94129750000000001</v>
      </c>
    </row>
    <row r="79" spans="1:33" x14ac:dyDescent="0.25">
      <c r="A79" s="3" t="s">
        <v>83</v>
      </c>
      <c r="B79" s="5">
        <v>342.13</v>
      </c>
      <c r="C79" s="5">
        <v>400</v>
      </c>
      <c r="D79" s="5">
        <f t="shared" si="54"/>
        <v>-57.870000000000005</v>
      </c>
      <c r="E79" s="6">
        <f t="shared" si="55"/>
        <v>0.855325</v>
      </c>
      <c r="F79" s="4"/>
      <c r="G79" s="4"/>
      <c r="H79" s="5">
        <f t="shared" si="56"/>
        <v>0</v>
      </c>
      <c r="I79" s="6" t="str">
        <f t="shared" si="57"/>
        <v/>
      </c>
      <c r="J79" s="4"/>
      <c r="K79" s="4"/>
      <c r="L79" s="5">
        <f t="shared" si="58"/>
        <v>0</v>
      </c>
      <c r="M79" s="6" t="str">
        <f t="shared" si="59"/>
        <v/>
      </c>
      <c r="N79" s="4"/>
      <c r="O79" s="4"/>
      <c r="P79" s="5">
        <f t="shared" si="60"/>
        <v>0</v>
      </c>
      <c r="Q79" s="6" t="str">
        <f t="shared" si="61"/>
        <v/>
      </c>
      <c r="R79" s="4"/>
      <c r="S79" s="4"/>
      <c r="T79" s="5">
        <f t="shared" si="62"/>
        <v>0</v>
      </c>
      <c r="U79" s="6" t="str">
        <f t="shared" si="63"/>
        <v/>
      </c>
      <c r="V79" s="4"/>
      <c r="W79" s="4"/>
      <c r="X79" s="5">
        <f t="shared" si="64"/>
        <v>0</v>
      </c>
      <c r="Y79" s="6" t="str">
        <f t="shared" si="65"/>
        <v/>
      </c>
      <c r="Z79" s="4"/>
      <c r="AA79" s="4"/>
      <c r="AB79" s="5">
        <f t="shared" si="66"/>
        <v>0</v>
      </c>
      <c r="AC79" s="6" t="str">
        <f t="shared" si="67"/>
        <v/>
      </c>
      <c r="AD79" s="5">
        <f t="shared" si="68"/>
        <v>342.13</v>
      </c>
      <c r="AE79" s="5">
        <f t="shared" si="69"/>
        <v>400</v>
      </c>
      <c r="AF79" s="5">
        <f t="shared" si="70"/>
        <v>-57.870000000000005</v>
      </c>
      <c r="AG79" s="6">
        <f t="shared" si="71"/>
        <v>0.855325</v>
      </c>
    </row>
    <row r="80" spans="1:33" x14ac:dyDescent="0.25">
      <c r="A80" s="3" t="s">
        <v>84</v>
      </c>
      <c r="B80" s="4"/>
      <c r="C80" s="4"/>
      <c r="D80" s="5">
        <f t="shared" si="54"/>
        <v>0</v>
      </c>
      <c r="E80" s="6" t="str">
        <f t="shared" si="55"/>
        <v/>
      </c>
      <c r="F80" s="4"/>
      <c r="G80" s="4"/>
      <c r="H80" s="5">
        <f t="shared" si="56"/>
        <v>0</v>
      </c>
      <c r="I80" s="6" t="str">
        <f t="shared" si="57"/>
        <v/>
      </c>
      <c r="J80" s="4"/>
      <c r="K80" s="4"/>
      <c r="L80" s="5">
        <f t="shared" si="58"/>
        <v>0</v>
      </c>
      <c r="M80" s="6" t="str">
        <f t="shared" si="59"/>
        <v/>
      </c>
      <c r="N80" s="4"/>
      <c r="O80" s="4"/>
      <c r="P80" s="5">
        <f t="shared" si="60"/>
        <v>0</v>
      </c>
      <c r="Q80" s="6" t="str">
        <f t="shared" si="61"/>
        <v/>
      </c>
      <c r="R80" s="5">
        <v>747</v>
      </c>
      <c r="S80" s="5">
        <v>750</v>
      </c>
      <c r="T80" s="5">
        <f t="shared" si="62"/>
        <v>-3</v>
      </c>
      <c r="U80" s="6">
        <f t="shared" si="63"/>
        <v>0.996</v>
      </c>
      <c r="V80" s="4"/>
      <c r="W80" s="4"/>
      <c r="X80" s="5">
        <f t="shared" si="64"/>
        <v>0</v>
      </c>
      <c r="Y80" s="6" t="str">
        <f t="shared" si="65"/>
        <v/>
      </c>
      <c r="Z80" s="4"/>
      <c r="AA80" s="4"/>
      <c r="AB80" s="5">
        <f t="shared" si="66"/>
        <v>0</v>
      </c>
      <c r="AC80" s="6" t="str">
        <f t="shared" si="67"/>
        <v/>
      </c>
      <c r="AD80" s="5">
        <f t="shared" si="68"/>
        <v>747</v>
      </c>
      <c r="AE80" s="5">
        <f t="shared" si="69"/>
        <v>750</v>
      </c>
      <c r="AF80" s="5">
        <f t="shared" si="70"/>
        <v>-3</v>
      </c>
      <c r="AG80" s="6">
        <f t="shared" si="71"/>
        <v>0.996</v>
      </c>
    </row>
    <row r="81" spans="1:33" x14ac:dyDescent="0.25">
      <c r="A81" s="3" t="s">
        <v>85</v>
      </c>
      <c r="B81" s="7">
        <f>((((((B74)+(B75))+(B76))+(B77))+(B78))+(B79))+(B80)</f>
        <v>1708.38</v>
      </c>
      <c r="C81" s="7">
        <f>((((((C74)+(C75))+(C76))+(C77))+(C78))+(C79))+(C80)</f>
        <v>1800</v>
      </c>
      <c r="D81" s="7">
        <f t="shared" si="54"/>
        <v>-91.619999999999891</v>
      </c>
      <c r="E81" s="8">
        <f t="shared" si="55"/>
        <v>0.94910000000000005</v>
      </c>
      <c r="F81" s="7">
        <f>((((((F74)+(F75))+(F76))+(F77))+(F78))+(F79))+(F80)</f>
        <v>73.48</v>
      </c>
      <c r="G81" s="7">
        <f>((((((G74)+(G75))+(G76))+(G77))+(G78))+(G79))+(G80)</f>
        <v>300</v>
      </c>
      <c r="H81" s="7">
        <f t="shared" si="56"/>
        <v>-226.51999999999998</v>
      </c>
      <c r="I81" s="8">
        <f t="shared" si="57"/>
        <v>0.24493333333333334</v>
      </c>
      <c r="J81" s="7">
        <f>((((((J74)+(J75))+(J76))+(J77))+(J78))+(J79))+(J80)</f>
        <v>0</v>
      </c>
      <c r="K81" s="7">
        <f>((((((K74)+(K75))+(K76))+(K77))+(K78))+(K79))+(K80)</f>
        <v>0</v>
      </c>
      <c r="L81" s="7">
        <f t="shared" si="58"/>
        <v>0</v>
      </c>
      <c r="M81" s="8" t="str">
        <f t="shared" si="59"/>
        <v/>
      </c>
      <c r="N81" s="7">
        <f>((((((N74)+(N75))+(N76))+(N77))+(N78))+(N79))+(N80)</f>
        <v>1726.27</v>
      </c>
      <c r="O81" s="7">
        <f>((((((O74)+(O75))+(O76))+(O77))+(O78))+(O79))+(O80)</f>
        <v>1950</v>
      </c>
      <c r="P81" s="7">
        <f t="shared" si="60"/>
        <v>-223.73000000000002</v>
      </c>
      <c r="Q81" s="8">
        <f t="shared" si="61"/>
        <v>0.88526666666666665</v>
      </c>
      <c r="R81" s="7">
        <f>((((((R74)+(R75))+(R76))+(R77))+(R78))+(R79))+(R80)</f>
        <v>1729.52</v>
      </c>
      <c r="S81" s="7">
        <f>((((((S74)+(S75))+(S76))+(S77))+(S78))+(S79))+(S80)</f>
        <v>1750</v>
      </c>
      <c r="T81" s="7">
        <f t="shared" si="62"/>
        <v>-20.480000000000018</v>
      </c>
      <c r="U81" s="8">
        <f t="shared" si="63"/>
        <v>0.98829714285714287</v>
      </c>
      <c r="V81" s="7">
        <f>((((((V74)+(V75))+(V76))+(V77))+(V78))+(V79))+(V80)</f>
        <v>11295.57</v>
      </c>
      <c r="W81" s="7">
        <f>((((((W74)+(W75))+(W76))+(W77))+(W78))+(W79))+(W80)</f>
        <v>12000</v>
      </c>
      <c r="X81" s="7">
        <f t="shared" si="64"/>
        <v>-704.43000000000029</v>
      </c>
      <c r="Y81" s="8">
        <f t="shared" si="65"/>
        <v>0.94129750000000001</v>
      </c>
      <c r="Z81" s="7">
        <f>((((((Z74)+(Z75))+(Z76))+(Z77))+(Z78))+(Z79))+(Z80)</f>
        <v>484.67</v>
      </c>
      <c r="AA81" s="7">
        <f>((((((AA74)+(AA75))+(AA76))+(AA77))+(AA78))+(AA79))+(AA80)</f>
        <v>950</v>
      </c>
      <c r="AB81" s="7">
        <f t="shared" si="66"/>
        <v>-465.33</v>
      </c>
      <c r="AC81" s="8">
        <f t="shared" si="67"/>
        <v>0.51017894736842107</v>
      </c>
      <c r="AD81" s="7">
        <f t="shared" si="68"/>
        <v>17017.89</v>
      </c>
      <c r="AE81" s="7">
        <f t="shared" si="69"/>
        <v>18750</v>
      </c>
      <c r="AF81" s="7">
        <f t="shared" si="70"/>
        <v>-1732.1100000000006</v>
      </c>
      <c r="AG81" s="8">
        <f t="shared" si="71"/>
        <v>0.90762080000000001</v>
      </c>
    </row>
    <row r="82" spans="1:33" x14ac:dyDescent="0.25">
      <c r="A82" s="3" t="s">
        <v>86</v>
      </c>
      <c r="B82" s="4"/>
      <c r="C82" s="4"/>
      <c r="D82" s="5">
        <f t="shared" si="54"/>
        <v>0</v>
      </c>
      <c r="E82" s="6" t="str">
        <f t="shared" si="55"/>
        <v/>
      </c>
      <c r="F82" s="4"/>
      <c r="G82" s="4"/>
      <c r="H82" s="5">
        <f t="shared" si="56"/>
        <v>0</v>
      </c>
      <c r="I82" s="6" t="str">
        <f t="shared" si="57"/>
        <v/>
      </c>
      <c r="J82" s="4"/>
      <c r="K82" s="4"/>
      <c r="L82" s="5">
        <f t="shared" si="58"/>
        <v>0</v>
      </c>
      <c r="M82" s="6" t="str">
        <f t="shared" si="59"/>
        <v/>
      </c>
      <c r="N82" s="4"/>
      <c r="O82" s="5">
        <f>1000</f>
        <v>1000</v>
      </c>
      <c r="P82" s="5">
        <f t="shared" si="60"/>
        <v>-1000</v>
      </c>
      <c r="Q82" s="6">
        <f t="shared" si="61"/>
        <v>0</v>
      </c>
      <c r="R82" s="4"/>
      <c r="S82" s="4"/>
      <c r="T82" s="5">
        <f t="shared" si="62"/>
        <v>0</v>
      </c>
      <c r="U82" s="6" t="str">
        <f t="shared" si="63"/>
        <v/>
      </c>
      <c r="V82" s="4"/>
      <c r="W82" s="4"/>
      <c r="X82" s="5">
        <f t="shared" si="64"/>
        <v>0</v>
      </c>
      <c r="Y82" s="6" t="str">
        <f t="shared" si="65"/>
        <v/>
      </c>
      <c r="Z82" s="4"/>
      <c r="AA82" s="4"/>
      <c r="AB82" s="5">
        <f t="shared" si="66"/>
        <v>0</v>
      </c>
      <c r="AC82" s="6" t="str">
        <f t="shared" si="67"/>
        <v/>
      </c>
      <c r="AD82" s="5">
        <f t="shared" si="68"/>
        <v>0</v>
      </c>
      <c r="AE82" s="5">
        <f t="shared" si="69"/>
        <v>1000</v>
      </c>
      <c r="AF82" s="5">
        <f t="shared" si="70"/>
        <v>-1000</v>
      </c>
      <c r="AG82" s="6">
        <f t="shared" si="71"/>
        <v>0</v>
      </c>
    </row>
    <row r="83" spans="1:33" x14ac:dyDescent="0.25">
      <c r="A83" s="3" t="s">
        <v>87</v>
      </c>
      <c r="B83" s="4"/>
      <c r="C83" s="4"/>
      <c r="D83" s="5">
        <f t="shared" si="54"/>
        <v>0</v>
      </c>
      <c r="E83" s="6" t="str">
        <f t="shared" si="55"/>
        <v/>
      </c>
      <c r="F83" s="4"/>
      <c r="G83" s="4"/>
      <c r="H83" s="5">
        <f t="shared" si="56"/>
        <v>0</v>
      </c>
      <c r="I83" s="6" t="str">
        <f t="shared" si="57"/>
        <v/>
      </c>
      <c r="J83" s="4"/>
      <c r="K83" s="4"/>
      <c r="L83" s="5">
        <f t="shared" si="58"/>
        <v>0</v>
      </c>
      <c r="M83" s="6" t="str">
        <f t="shared" si="59"/>
        <v/>
      </c>
      <c r="N83" s="5">
        <v>1255.5</v>
      </c>
      <c r="O83" s="5">
        <v>1250</v>
      </c>
      <c r="P83" s="5">
        <f t="shared" si="60"/>
        <v>5.5</v>
      </c>
      <c r="Q83" s="6">
        <f t="shared" si="61"/>
        <v>1.0044</v>
      </c>
      <c r="R83" s="4"/>
      <c r="S83" s="4"/>
      <c r="T83" s="5">
        <f t="shared" si="62"/>
        <v>0</v>
      </c>
      <c r="U83" s="6" t="str">
        <f t="shared" si="63"/>
        <v/>
      </c>
      <c r="V83" s="4"/>
      <c r="W83" s="4"/>
      <c r="X83" s="5">
        <f t="shared" si="64"/>
        <v>0</v>
      </c>
      <c r="Y83" s="6" t="str">
        <f t="shared" si="65"/>
        <v/>
      </c>
      <c r="Z83" s="5">
        <v>1255.5</v>
      </c>
      <c r="AA83" s="5">
        <v>1250</v>
      </c>
      <c r="AB83" s="5">
        <f t="shared" si="66"/>
        <v>5.5</v>
      </c>
      <c r="AC83" s="6">
        <f t="shared" si="67"/>
        <v>1.0044</v>
      </c>
      <c r="AD83" s="5">
        <f t="shared" si="68"/>
        <v>2511</v>
      </c>
      <c r="AE83" s="5">
        <f t="shared" si="69"/>
        <v>2500</v>
      </c>
      <c r="AF83" s="5">
        <f t="shared" si="70"/>
        <v>11</v>
      </c>
      <c r="AG83" s="6">
        <f t="shared" si="71"/>
        <v>1.0044</v>
      </c>
    </row>
    <row r="84" spans="1:33" x14ac:dyDescent="0.25">
      <c r="A84" s="3" t="s">
        <v>88</v>
      </c>
      <c r="B84" s="4"/>
      <c r="C84" s="4"/>
      <c r="D84" s="5">
        <f t="shared" si="54"/>
        <v>0</v>
      </c>
      <c r="E84" s="6" t="str">
        <f t="shared" si="55"/>
        <v/>
      </c>
      <c r="F84" s="4"/>
      <c r="G84" s="4"/>
      <c r="H84" s="5">
        <f t="shared" si="56"/>
        <v>0</v>
      </c>
      <c r="I84" s="6" t="str">
        <f t="shared" si="57"/>
        <v/>
      </c>
      <c r="J84" s="4"/>
      <c r="K84" s="4"/>
      <c r="L84" s="5">
        <f t="shared" si="58"/>
        <v>0</v>
      </c>
      <c r="M84" s="6" t="str">
        <f t="shared" si="59"/>
        <v/>
      </c>
      <c r="N84" s="4"/>
      <c r="O84" s="5">
        <v>1500</v>
      </c>
      <c r="P84" s="5">
        <f t="shared" si="60"/>
        <v>-1500</v>
      </c>
      <c r="Q84" s="6">
        <f t="shared" si="61"/>
        <v>0</v>
      </c>
      <c r="R84" s="4"/>
      <c r="S84" s="4"/>
      <c r="T84" s="5">
        <f t="shared" si="62"/>
        <v>0</v>
      </c>
      <c r="U84" s="6" t="str">
        <f t="shared" si="63"/>
        <v/>
      </c>
      <c r="V84" s="4"/>
      <c r="W84" s="4"/>
      <c r="X84" s="5">
        <f t="shared" si="64"/>
        <v>0</v>
      </c>
      <c r="Y84" s="6" t="str">
        <f t="shared" si="65"/>
        <v/>
      </c>
      <c r="Z84" s="5">
        <v>289.54000000000002</v>
      </c>
      <c r="AA84" s="5">
        <v>1500</v>
      </c>
      <c r="AB84" s="5">
        <f t="shared" si="66"/>
        <v>-1210.46</v>
      </c>
      <c r="AC84" s="6">
        <f t="shared" si="67"/>
        <v>0.19302666666666668</v>
      </c>
      <c r="AD84" s="5">
        <f t="shared" si="68"/>
        <v>289.54000000000002</v>
      </c>
      <c r="AE84" s="5">
        <f t="shared" si="69"/>
        <v>3000</v>
      </c>
      <c r="AF84" s="5">
        <f t="shared" si="70"/>
        <v>-2710.46</v>
      </c>
      <c r="AG84" s="6">
        <f t="shared" si="71"/>
        <v>9.651333333333334E-2</v>
      </c>
    </row>
    <row r="85" spans="1:33" x14ac:dyDescent="0.25">
      <c r="A85" s="3" t="s">
        <v>89</v>
      </c>
      <c r="B85" s="4"/>
      <c r="C85" s="4"/>
      <c r="D85" s="5">
        <f t="shared" si="54"/>
        <v>0</v>
      </c>
      <c r="E85" s="6" t="str">
        <f t="shared" si="55"/>
        <v/>
      </c>
      <c r="F85" s="4"/>
      <c r="G85" s="4"/>
      <c r="H85" s="5">
        <f t="shared" si="56"/>
        <v>0</v>
      </c>
      <c r="I85" s="6" t="str">
        <f t="shared" si="57"/>
        <v/>
      </c>
      <c r="J85" s="4"/>
      <c r="K85" s="4"/>
      <c r="L85" s="5">
        <f t="shared" si="58"/>
        <v>0</v>
      </c>
      <c r="M85" s="6" t="str">
        <f t="shared" si="59"/>
        <v/>
      </c>
      <c r="N85" s="4"/>
      <c r="O85" s="4"/>
      <c r="P85" s="5">
        <f t="shared" si="60"/>
        <v>0</v>
      </c>
      <c r="Q85" s="6" t="str">
        <f t="shared" si="61"/>
        <v/>
      </c>
      <c r="R85" s="4"/>
      <c r="S85" s="4"/>
      <c r="T85" s="5">
        <f t="shared" si="62"/>
        <v>0</v>
      </c>
      <c r="U85" s="6" t="str">
        <f t="shared" si="63"/>
        <v/>
      </c>
      <c r="V85" s="4"/>
      <c r="W85" s="4"/>
      <c r="X85" s="5">
        <f t="shared" si="64"/>
        <v>0</v>
      </c>
      <c r="Y85" s="6" t="str">
        <f t="shared" si="65"/>
        <v/>
      </c>
      <c r="Z85" s="4"/>
      <c r="AA85" s="4"/>
      <c r="AB85" s="5">
        <f t="shared" si="66"/>
        <v>0</v>
      </c>
      <c r="AC85" s="6" t="str">
        <f t="shared" si="67"/>
        <v/>
      </c>
      <c r="AD85" s="5">
        <f t="shared" si="68"/>
        <v>0</v>
      </c>
      <c r="AE85" s="5">
        <f t="shared" si="69"/>
        <v>0</v>
      </c>
      <c r="AF85" s="5">
        <f t="shared" si="70"/>
        <v>0</v>
      </c>
      <c r="AG85" s="6" t="str">
        <f t="shared" si="71"/>
        <v/>
      </c>
    </row>
    <row r="86" spans="1:33" x14ac:dyDescent="0.25">
      <c r="A86" s="3" t="s">
        <v>90</v>
      </c>
      <c r="B86" s="4"/>
      <c r="C86" s="4"/>
      <c r="D86" s="5">
        <f t="shared" si="54"/>
        <v>0</v>
      </c>
      <c r="E86" s="6" t="str">
        <f t="shared" si="55"/>
        <v/>
      </c>
      <c r="F86" s="4"/>
      <c r="G86" s="4"/>
      <c r="H86" s="5">
        <f t="shared" si="56"/>
        <v>0</v>
      </c>
      <c r="I86" s="6" t="str">
        <f t="shared" si="57"/>
        <v/>
      </c>
      <c r="J86" s="4"/>
      <c r="K86" s="4"/>
      <c r="L86" s="5">
        <f t="shared" si="58"/>
        <v>0</v>
      </c>
      <c r="M86" s="6" t="str">
        <f t="shared" si="59"/>
        <v/>
      </c>
      <c r="N86" s="5">
        <v>2250</v>
      </c>
      <c r="O86" s="5">
        <v>2450</v>
      </c>
      <c r="P86" s="5">
        <f t="shared" si="60"/>
        <v>-200</v>
      </c>
      <c r="Q86" s="6">
        <f t="shared" si="61"/>
        <v>0.91836734693877553</v>
      </c>
      <c r="R86" s="4"/>
      <c r="S86" s="4"/>
      <c r="T86" s="5">
        <f t="shared" si="62"/>
        <v>0</v>
      </c>
      <c r="U86" s="6" t="str">
        <f t="shared" si="63"/>
        <v/>
      </c>
      <c r="V86" s="4"/>
      <c r="W86" s="4"/>
      <c r="X86" s="5">
        <f t="shared" si="64"/>
        <v>0</v>
      </c>
      <c r="Y86" s="6" t="str">
        <f t="shared" si="65"/>
        <v/>
      </c>
      <c r="Z86" s="5">
        <v>2250</v>
      </c>
      <c r="AA86" s="5">
        <v>2450</v>
      </c>
      <c r="AB86" s="5">
        <f t="shared" si="66"/>
        <v>-200</v>
      </c>
      <c r="AC86" s="6">
        <f t="shared" si="67"/>
        <v>0.91836734693877553</v>
      </c>
      <c r="AD86" s="5">
        <f t="shared" si="68"/>
        <v>4500</v>
      </c>
      <c r="AE86" s="5">
        <f t="shared" si="69"/>
        <v>4900</v>
      </c>
      <c r="AF86" s="5">
        <f t="shared" si="70"/>
        <v>-400</v>
      </c>
      <c r="AG86" s="6">
        <f t="shared" si="71"/>
        <v>0.91836734693877553</v>
      </c>
    </row>
    <row r="87" spans="1:33" x14ac:dyDescent="0.25">
      <c r="A87" s="3" t="s">
        <v>91</v>
      </c>
      <c r="B87" s="5">
        <f>1113.47</f>
        <v>1113.47</v>
      </c>
      <c r="C87" s="5">
        <v>1200</v>
      </c>
      <c r="D87" s="5">
        <f t="shared" si="54"/>
        <v>-86.529999999999973</v>
      </c>
      <c r="E87" s="6">
        <f t="shared" si="55"/>
        <v>0.92789166666666667</v>
      </c>
      <c r="F87" s="4"/>
      <c r="G87" s="4"/>
      <c r="H87" s="5">
        <f t="shared" si="56"/>
        <v>0</v>
      </c>
      <c r="I87" s="6" t="str">
        <f t="shared" si="57"/>
        <v/>
      </c>
      <c r="J87" s="4"/>
      <c r="K87" s="4"/>
      <c r="L87" s="5">
        <f t="shared" si="58"/>
        <v>0</v>
      </c>
      <c r="M87" s="6" t="str">
        <f t="shared" si="59"/>
        <v/>
      </c>
      <c r="N87" s="4"/>
      <c r="O87" s="4"/>
      <c r="P87" s="5">
        <f t="shared" si="60"/>
        <v>0</v>
      </c>
      <c r="Q87" s="6" t="str">
        <f t="shared" si="61"/>
        <v/>
      </c>
      <c r="R87" s="4"/>
      <c r="S87" s="4"/>
      <c r="T87" s="5">
        <f t="shared" si="62"/>
        <v>0</v>
      </c>
      <c r="U87" s="6" t="str">
        <f t="shared" si="63"/>
        <v/>
      </c>
      <c r="V87" s="4"/>
      <c r="W87" s="4"/>
      <c r="X87" s="5">
        <f t="shared" si="64"/>
        <v>0</v>
      </c>
      <c r="Y87" s="6" t="str">
        <f t="shared" si="65"/>
        <v/>
      </c>
      <c r="Z87" s="4"/>
      <c r="AA87" s="4"/>
      <c r="AB87" s="5">
        <f t="shared" si="66"/>
        <v>0</v>
      </c>
      <c r="AC87" s="6" t="str">
        <f t="shared" si="67"/>
        <v/>
      </c>
      <c r="AD87" s="5">
        <f t="shared" si="68"/>
        <v>1113.47</v>
      </c>
      <c r="AE87" s="5">
        <f t="shared" si="69"/>
        <v>1200</v>
      </c>
      <c r="AF87" s="5">
        <f t="shared" si="70"/>
        <v>-86.529999999999973</v>
      </c>
      <c r="AG87" s="6">
        <f t="shared" si="71"/>
        <v>0.92789166666666667</v>
      </c>
    </row>
    <row r="88" spans="1:33" x14ac:dyDescent="0.25">
      <c r="A88" s="3" t="s">
        <v>92</v>
      </c>
      <c r="B88" s="5">
        <v>3196</v>
      </c>
      <c r="C88" s="5">
        <v>3500</v>
      </c>
      <c r="D88" s="5">
        <f t="shared" si="54"/>
        <v>-304</v>
      </c>
      <c r="E88" s="6">
        <f t="shared" si="55"/>
        <v>0.91314285714285715</v>
      </c>
      <c r="F88" s="4"/>
      <c r="G88" s="4"/>
      <c r="H88" s="5">
        <f t="shared" si="56"/>
        <v>0</v>
      </c>
      <c r="I88" s="6" t="str">
        <f t="shared" si="57"/>
        <v/>
      </c>
      <c r="J88" s="4"/>
      <c r="K88" s="4"/>
      <c r="L88" s="5">
        <f t="shared" si="58"/>
        <v>0</v>
      </c>
      <c r="M88" s="6" t="str">
        <f t="shared" si="59"/>
        <v/>
      </c>
      <c r="N88" s="4"/>
      <c r="O88" s="4"/>
      <c r="P88" s="5">
        <f t="shared" si="60"/>
        <v>0</v>
      </c>
      <c r="Q88" s="6" t="str">
        <f t="shared" si="61"/>
        <v/>
      </c>
      <c r="R88" s="4"/>
      <c r="S88" s="4"/>
      <c r="T88" s="5">
        <f t="shared" si="62"/>
        <v>0</v>
      </c>
      <c r="U88" s="6" t="str">
        <f t="shared" si="63"/>
        <v/>
      </c>
      <c r="V88" s="4"/>
      <c r="W88" s="4"/>
      <c r="X88" s="5">
        <f t="shared" si="64"/>
        <v>0</v>
      </c>
      <c r="Y88" s="6" t="str">
        <f t="shared" si="65"/>
        <v/>
      </c>
      <c r="Z88" s="4"/>
      <c r="AA88" s="4"/>
      <c r="AB88" s="5">
        <f t="shared" si="66"/>
        <v>0</v>
      </c>
      <c r="AC88" s="6" t="str">
        <f t="shared" si="67"/>
        <v/>
      </c>
      <c r="AD88" s="5">
        <f t="shared" si="68"/>
        <v>3196</v>
      </c>
      <c r="AE88" s="5">
        <f t="shared" si="69"/>
        <v>3500</v>
      </c>
      <c r="AF88" s="5">
        <f t="shared" si="70"/>
        <v>-304</v>
      </c>
      <c r="AG88" s="6">
        <f t="shared" si="71"/>
        <v>0.91314285714285715</v>
      </c>
    </row>
    <row r="89" spans="1:33" x14ac:dyDescent="0.25">
      <c r="A89" s="3" t="s">
        <v>93</v>
      </c>
      <c r="B89" s="5">
        <v>2399.2399999999998</v>
      </c>
      <c r="C89" s="5">
        <f>2500</f>
        <v>2500</v>
      </c>
      <c r="D89" s="5">
        <f t="shared" si="54"/>
        <v>-100.76000000000022</v>
      </c>
      <c r="E89" s="6">
        <f t="shared" si="55"/>
        <v>0.95969599999999988</v>
      </c>
      <c r="F89" s="4"/>
      <c r="G89" s="4"/>
      <c r="H89" s="5">
        <f t="shared" si="56"/>
        <v>0</v>
      </c>
      <c r="I89" s="6" t="str">
        <f t="shared" si="57"/>
        <v/>
      </c>
      <c r="J89" s="4"/>
      <c r="K89" s="4"/>
      <c r="L89" s="5">
        <f t="shared" si="58"/>
        <v>0</v>
      </c>
      <c r="M89" s="6" t="str">
        <f t="shared" si="59"/>
        <v/>
      </c>
      <c r="N89" s="4"/>
      <c r="O89" s="5">
        <f>500</f>
        <v>500</v>
      </c>
      <c r="P89" s="5">
        <f t="shared" si="60"/>
        <v>-500</v>
      </c>
      <c r="Q89" s="6">
        <f t="shared" si="61"/>
        <v>0</v>
      </c>
      <c r="R89" s="4"/>
      <c r="S89" s="4"/>
      <c r="T89" s="5">
        <f t="shared" si="62"/>
        <v>0</v>
      </c>
      <c r="U89" s="6" t="str">
        <f t="shared" si="63"/>
        <v/>
      </c>
      <c r="V89" s="4"/>
      <c r="W89" s="4"/>
      <c r="X89" s="5">
        <f t="shared" si="64"/>
        <v>0</v>
      </c>
      <c r="Y89" s="6" t="str">
        <f t="shared" si="65"/>
        <v/>
      </c>
      <c r="Z89" s="4"/>
      <c r="AA89" s="5">
        <f>500</f>
        <v>500</v>
      </c>
      <c r="AB89" s="5">
        <f t="shared" si="66"/>
        <v>-500</v>
      </c>
      <c r="AC89" s="6">
        <f t="shared" si="67"/>
        <v>0</v>
      </c>
      <c r="AD89" s="5">
        <f t="shared" si="68"/>
        <v>2399.2399999999998</v>
      </c>
      <c r="AE89" s="5">
        <f t="shared" si="69"/>
        <v>3500</v>
      </c>
      <c r="AF89" s="5">
        <f t="shared" si="70"/>
        <v>-1100.7600000000002</v>
      </c>
      <c r="AG89" s="6">
        <f t="shared" si="71"/>
        <v>0.6854971428571428</v>
      </c>
    </row>
    <row r="90" spans="1:33" x14ac:dyDescent="0.25">
      <c r="A90" s="3" t="s">
        <v>94</v>
      </c>
      <c r="B90" s="5">
        <f>920.25</f>
        <v>920.25</v>
      </c>
      <c r="C90" s="5">
        <v>1625</v>
      </c>
      <c r="D90" s="5">
        <f t="shared" si="54"/>
        <v>-704.75</v>
      </c>
      <c r="E90" s="6">
        <f t="shared" si="55"/>
        <v>0.56630769230769229</v>
      </c>
      <c r="F90" s="4"/>
      <c r="G90" s="4"/>
      <c r="H90" s="5">
        <f t="shared" si="56"/>
        <v>0</v>
      </c>
      <c r="I90" s="6" t="str">
        <f t="shared" si="57"/>
        <v/>
      </c>
      <c r="J90" s="4"/>
      <c r="K90" s="4"/>
      <c r="L90" s="5">
        <f t="shared" si="58"/>
        <v>0</v>
      </c>
      <c r="M90" s="6" t="str">
        <f t="shared" si="59"/>
        <v/>
      </c>
      <c r="N90" s="5">
        <f>920.25</f>
        <v>920.25</v>
      </c>
      <c r="O90" s="5">
        <v>1625</v>
      </c>
      <c r="P90" s="5">
        <f t="shared" si="60"/>
        <v>-704.75</v>
      </c>
      <c r="Q90" s="6">
        <f t="shared" si="61"/>
        <v>0.56630769230769229</v>
      </c>
      <c r="R90" s="5">
        <f>920.25</f>
        <v>920.25</v>
      </c>
      <c r="S90" s="5">
        <v>1625</v>
      </c>
      <c r="T90" s="5">
        <f t="shared" si="62"/>
        <v>-704.75</v>
      </c>
      <c r="U90" s="6">
        <f t="shared" si="63"/>
        <v>0.56630769230769229</v>
      </c>
      <c r="V90" s="4"/>
      <c r="W90" s="4"/>
      <c r="X90" s="5">
        <f t="shared" si="64"/>
        <v>0</v>
      </c>
      <c r="Y90" s="6" t="str">
        <f t="shared" si="65"/>
        <v/>
      </c>
      <c r="Z90" s="5">
        <f>920.25</f>
        <v>920.25</v>
      </c>
      <c r="AA90" s="5">
        <v>1625</v>
      </c>
      <c r="AB90" s="5">
        <f t="shared" si="66"/>
        <v>-704.75</v>
      </c>
      <c r="AC90" s="6">
        <f t="shared" si="67"/>
        <v>0.56630769230769229</v>
      </c>
      <c r="AD90" s="5">
        <f t="shared" si="68"/>
        <v>3681</v>
      </c>
      <c r="AE90" s="5">
        <f t="shared" si="69"/>
        <v>6500</v>
      </c>
      <c r="AF90" s="5">
        <f t="shared" si="70"/>
        <v>-2819</v>
      </c>
      <c r="AG90" s="6">
        <f t="shared" si="71"/>
        <v>0.56630769230769229</v>
      </c>
    </row>
    <row r="91" spans="1:33" x14ac:dyDescent="0.25">
      <c r="A91" s="3" t="s">
        <v>95</v>
      </c>
      <c r="B91" s="5">
        <f>2047.2</f>
        <v>2047.2</v>
      </c>
      <c r="C91" s="5">
        <v>3833.34</v>
      </c>
      <c r="D91" s="5">
        <f t="shared" si="54"/>
        <v>-1786.14</v>
      </c>
      <c r="E91" s="6">
        <f t="shared" si="55"/>
        <v>0.53405124512826929</v>
      </c>
      <c r="F91" s="4"/>
      <c r="G91" s="4"/>
      <c r="H91" s="5">
        <f t="shared" si="56"/>
        <v>0</v>
      </c>
      <c r="I91" s="6" t="str">
        <f t="shared" si="57"/>
        <v/>
      </c>
      <c r="J91" s="4"/>
      <c r="K91" s="4"/>
      <c r="L91" s="5">
        <f t="shared" si="58"/>
        <v>0</v>
      </c>
      <c r="M91" s="6" t="str">
        <f t="shared" si="59"/>
        <v/>
      </c>
      <c r="N91" s="5">
        <f>1023.6</f>
        <v>1023.6</v>
      </c>
      <c r="O91" s="5">
        <v>3833.34</v>
      </c>
      <c r="P91" s="5">
        <f t="shared" si="60"/>
        <v>-2809.7400000000002</v>
      </c>
      <c r="Q91" s="6">
        <f t="shared" si="61"/>
        <v>0.26702562256413465</v>
      </c>
      <c r="R91" s="4"/>
      <c r="S91" s="4"/>
      <c r="T91" s="5">
        <f t="shared" si="62"/>
        <v>0</v>
      </c>
      <c r="U91" s="6" t="str">
        <f t="shared" si="63"/>
        <v/>
      </c>
      <c r="V91" s="4"/>
      <c r="W91" s="4"/>
      <c r="X91" s="5">
        <f t="shared" si="64"/>
        <v>0</v>
      </c>
      <c r="Y91" s="6" t="str">
        <f t="shared" si="65"/>
        <v/>
      </c>
      <c r="Z91" s="5">
        <f>2047.2</f>
        <v>2047.2</v>
      </c>
      <c r="AA91" s="5">
        <v>3833.34</v>
      </c>
      <c r="AB91" s="5">
        <f t="shared" si="66"/>
        <v>-1786.14</v>
      </c>
      <c r="AC91" s="6">
        <f t="shared" si="67"/>
        <v>0.53405124512826929</v>
      </c>
      <c r="AD91" s="5">
        <f t="shared" si="68"/>
        <v>5118</v>
      </c>
      <c r="AE91" s="5">
        <f t="shared" si="69"/>
        <v>11500.02</v>
      </c>
      <c r="AF91" s="5">
        <f t="shared" si="70"/>
        <v>-6382.02</v>
      </c>
      <c r="AG91" s="6">
        <f t="shared" si="71"/>
        <v>0.44504270427355774</v>
      </c>
    </row>
    <row r="92" spans="1:33" x14ac:dyDescent="0.25">
      <c r="A92" s="3" t="s">
        <v>96</v>
      </c>
      <c r="B92" s="7">
        <f>((((((B85)+(B86))+(B87))+(B88))+(B89))+(B90))+(B91)</f>
        <v>9676.16</v>
      </c>
      <c r="C92" s="7">
        <f>((((((C85)+(C86))+(C87))+(C88))+(C89))+(C90))+(C91)</f>
        <v>12658.34</v>
      </c>
      <c r="D92" s="7">
        <f t="shared" si="54"/>
        <v>-2982.1800000000003</v>
      </c>
      <c r="E92" s="8">
        <f t="shared" si="55"/>
        <v>0.76440986732857541</v>
      </c>
      <c r="F92" s="7">
        <f>((((((F85)+(F86))+(F87))+(F88))+(F89))+(F90))+(F91)</f>
        <v>0</v>
      </c>
      <c r="G92" s="7">
        <f>((((((G85)+(G86))+(G87))+(G88))+(G89))+(G90))+(G91)</f>
        <v>0</v>
      </c>
      <c r="H92" s="7">
        <f t="shared" si="56"/>
        <v>0</v>
      </c>
      <c r="I92" s="8" t="str">
        <f t="shared" si="57"/>
        <v/>
      </c>
      <c r="J92" s="7">
        <f>((((((J85)+(J86))+(J87))+(J88))+(J89))+(J90))+(J91)</f>
        <v>0</v>
      </c>
      <c r="K92" s="7">
        <f>((((((K85)+(K86))+(K87))+(K88))+(K89))+(K90))+(K91)</f>
        <v>0</v>
      </c>
      <c r="L92" s="7">
        <f t="shared" si="58"/>
        <v>0</v>
      </c>
      <c r="M92" s="8" t="str">
        <f t="shared" si="59"/>
        <v/>
      </c>
      <c r="N92" s="7">
        <f>((((((N85)+(N86))+(N87))+(N88))+(N89))+(N90))+(N91)</f>
        <v>4193.8500000000004</v>
      </c>
      <c r="O92" s="7">
        <f>((((((O85)+(O86))+(O87))+(O88))+(O89))+(O90))+(O91)</f>
        <v>8408.34</v>
      </c>
      <c r="P92" s="7">
        <f t="shared" si="60"/>
        <v>-4214.49</v>
      </c>
      <c r="Q92" s="8">
        <f t="shared" si="61"/>
        <v>0.49877264715746511</v>
      </c>
      <c r="R92" s="7">
        <f>((((((R85)+(R86))+(R87))+(R88))+(R89))+(R90))+(R91)</f>
        <v>920.25</v>
      </c>
      <c r="S92" s="7">
        <f>((((((S85)+(S86))+(S87))+(S88))+(S89))+(S90))+(S91)</f>
        <v>1625</v>
      </c>
      <c r="T92" s="7">
        <f t="shared" si="62"/>
        <v>-704.75</v>
      </c>
      <c r="U92" s="8">
        <f t="shared" si="63"/>
        <v>0.56630769230769229</v>
      </c>
      <c r="V92" s="7">
        <f>((((((V85)+(V86))+(V87))+(V88))+(V89))+(V90))+(V91)</f>
        <v>0</v>
      </c>
      <c r="W92" s="7">
        <f>((((((W85)+(W86))+(W87))+(W88))+(W89))+(W90))+(W91)</f>
        <v>0</v>
      </c>
      <c r="X92" s="7">
        <f t="shared" si="64"/>
        <v>0</v>
      </c>
      <c r="Y92" s="8" t="str">
        <f t="shared" si="65"/>
        <v/>
      </c>
      <c r="Z92" s="7">
        <f>((((((Z85)+(Z86))+(Z87))+(Z88))+(Z89))+(Z90))+(Z91)</f>
        <v>5217.45</v>
      </c>
      <c r="AA92" s="7">
        <f>((((((AA85)+(AA86))+(AA87))+(AA88))+(AA89))+(AA90))+(AA91)</f>
        <v>8408.34</v>
      </c>
      <c r="AB92" s="7">
        <f t="shared" si="66"/>
        <v>-3190.8900000000003</v>
      </c>
      <c r="AC92" s="8">
        <f t="shared" si="67"/>
        <v>0.62050892328331153</v>
      </c>
      <c r="AD92" s="7">
        <f t="shared" si="68"/>
        <v>20007.71</v>
      </c>
      <c r="AE92" s="7">
        <f t="shared" si="69"/>
        <v>31100.02</v>
      </c>
      <c r="AF92" s="7">
        <f t="shared" si="70"/>
        <v>-11092.310000000001</v>
      </c>
      <c r="AG92" s="8">
        <f t="shared" si="71"/>
        <v>0.64333431296828747</v>
      </c>
    </row>
    <row r="93" spans="1:33" x14ac:dyDescent="0.25">
      <c r="A93" s="3" t="s">
        <v>97</v>
      </c>
      <c r="B93" s="5">
        <f>476.65</f>
        <v>476.65</v>
      </c>
      <c r="C93" s="5">
        <f>1500</f>
        <v>1500</v>
      </c>
      <c r="D93" s="5">
        <f t="shared" si="54"/>
        <v>-1023.35</v>
      </c>
      <c r="E93" s="6">
        <f t="shared" si="55"/>
        <v>0.31776666666666664</v>
      </c>
      <c r="F93" s="5">
        <f>148.7</f>
        <v>148.69999999999999</v>
      </c>
      <c r="G93" s="5">
        <f>400</f>
        <v>400</v>
      </c>
      <c r="H93" s="5">
        <f t="shared" si="56"/>
        <v>-251.3</v>
      </c>
      <c r="I93" s="6">
        <f t="shared" si="57"/>
        <v>0.37174999999999997</v>
      </c>
      <c r="J93" s="4"/>
      <c r="K93" s="4"/>
      <c r="L93" s="5">
        <f t="shared" si="58"/>
        <v>0</v>
      </c>
      <c r="M93" s="6" t="str">
        <f t="shared" si="59"/>
        <v/>
      </c>
      <c r="N93" s="5">
        <f>659.71</f>
        <v>659.71</v>
      </c>
      <c r="O93" s="5">
        <f>750</f>
        <v>750</v>
      </c>
      <c r="P93" s="5">
        <f t="shared" si="60"/>
        <v>-90.289999999999964</v>
      </c>
      <c r="Q93" s="6">
        <f t="shared" si="61"/>
        <v>0.87961333333333336</v>
      </c>
      <c r="R93" s="4"/>
      <c r="S93" s="4"/>
      <c r="T93" s="5">
        <f t="shared" si="62"/>
        <v>0</v>
      </c>
      <c r="U93" s="6" t="str">
        <f t="shared" si="63"/>
        <v/>
      </c>
      <c r="V93" s="4"/>
      <c r="W93" s="4"/>
      <c r="X93" s="5">
        <f t="shared" si="64"/>
        <v>0</v>
      </c>
      <c r="Y93" s="6" t="str">
        <f t="shared" si="65"/>
        <v/>
      </c>
      <c r="Z93" s="5">
        <f>659.63</f>
        <v>659.63</v>
      </c>
      <c r="AA93" s="5">
        <f>750</f>
        <v>750</v>
      </c>
      <c r="AB93" s="5">
        <f t="shared" si="66"/>
        <v>-90.37</v>
      </c>
      <c r="AC93" s="6">
        <f t="shared" si="67"/>
        <v>0.87950666666666666</v>
      </c>
      <c r="AD93" s="5">
        <f t="shared" si="68"/>
        <v>1944.69</v>
      </c>
      <c r="AE93" s="5">
        <f t="shared" si="69"/>
        <v>3400</v>
      </c>
      <c r="AF93" s="5">
        <f t="shared" si="70"/>
        <v>-1455.31</v>
      </c>
      <c r="AG93" s="6">
        <f t="shared" si="71"/>
        <v>0.57196764705882353</v>
      </c>
    </row>
    <row r="94" spans="1:33" x14ac:dyDescent="0.25">
      <c r="A94" s="3" t="s">
        <v>98</v>
      </c>
      <c r="B94" s="4"/>
      <c r="C94" s="4"/>
      <c r="D94" s="5">
        <f t="shared" ref="D94:D125" si="72">(B94)-(C94)</f>
        <v>0</v>
      </c>
      <c r="E94" s="6" t="str">
        <f t="shared" ref="E94:E125" si="73">IF(C94=0,"",(B94)/(C94))</f>
        <v/>
      </c>
      <c r="F94" s="4"/>
      <c r="G94" s="4"/>
      <c r="H94" s="5">
        <f t="shared" ref="H94:H125" si="74">(F94)-(G94)</f>
        <v>0</v>
      </c>
      <c r="I94" s="6" t="str">
        <f t="shared" ref="I94:I125" si="75">IF(G94=0,"",(F94)/(G94))</f>
        <v/>
      </c>
      <c r="J94" s="4"/>
      <c r="K94" s="4"/>
      <c r="L94" s="5">
        <f t="shared" ref="L94:L125" si="76">(J94)-(K94)</f>
        <v>0</v>
      </c>
      <c r="M94" s="6" t="str">
        <f t="shared" ref="M94:M125" si="77">IF(K94=0,"",(J94)/(K94))</f>
        <v/>
      </c>
      <c r="N94" s="4"/>
      <c r="O94" s="4"/>
      <c r="P94" s="5">
        <f t="shared" ref="P94:P125" si="78">(N94)-(O94)</f>
        <v>0</v>
      </c>
      <c r="Q94" s="6" t="str">
        <f t="shared" ref="Q94:Q125" si="79">IF(O94=0,"",(N94)/(O94))</f>
        <v/>
      </c>
      <c r="R94" s="4"/>
      <c r="S94" s="4"/>
      <c r="T94" s="5">
        <f t="shared" ref="T94:T125" si="80">(R94)-(S94)</f>
        <v>0</v>
      </c>
      <c r="U94" s="6" t="str">
        <f t="shared" ref="U94:U125" si="81">IF(S94=0,"",(R94)/(S94))</f>
        <v/>
      </c>
      <c r="V94" s="4"/>
      <c r="W94" s="4"/>
      <c r="X94" s="5">
        <f t="shared" ref="X94:X125" si="82">(V94)-(W94)</f>
        <v>0</v>
      </c>
      <c r="Y94" s="6" t="str">
        <f t="shared" ref="Y94:Y125" si="83">IF(W94=0,"",(V94)/(W94))</f>
        <v/>
      </c>
      <c r="Z94" s="4"/>
      <c r="AA94" s="4"/>
      <c r="AB94" s="5">
        <f t="shared" ref="AB94:AB125" si="84">(Z94)-(AA94)</f>
        <v>0</v>
      </c>
      <c r="AC94" s="6" t="str">
        <f t="shared" ref="AC94:AC125" si="85">IF(AA94=0,"",(Z94)/(AA94))</f>
        <v/>
      </c>
      <c r="AD94" s="5">
        <f t="shared" ref="AD94:AD125" si="86">((((((B94)+(F94))+(J94))+(N94))+(R94))+(V94))+(Z94)</f>
        <v>0</v>
      </c>
      <c r="AE94" s="5">
        <f t="shared" ref="AE94:AE125" si="87">((((((C94)+(G94))+(K94))+(O94))+(S94))+(W94))+(AA94)</f>
        <v>0</v>
      </c>
      <c r="AF94" s="5">
        <f t="shared" ref="AF94:AF125" si="88">(AD94)-(AE94)</f>
        <v>0</v>
      </c>
      <c r="AG94" s="6" t="str">
        <f t="shared" ref="AG94:AG125" si="89">IF(AE94=0,"",(AD94)/(AE94))</f>
        <v/>
      </c>
    </row>
    <row r="95" spans="1:33" s="15" customFormat="1" x14ac:dyDescent="0.25">
      <c r="A95" s="11" t="s">
        <v>99</v>
      </c>
      <c r="B95" s="13">
        <f>36519.39</f>
        <v>36519.39</v>
      </c>
      <c r="C95" s="13">
        <f>26800</f>
        <v>26800</v>
      </c>
      <c r="D95" s="13">
        <f t="shared" si="72"/>
        <v>9719.39</v>
      </c>
      <c r="E95" s="14">
        <f t="shared" si="73"/>
        <v>1.3626638059701492</v>
      </c>
      <c r="F95" s="12"/>
      <c r="G95" s="12"/>
      <c r="H95" s="13">
        <f t="shared" si="74"/>
        <v>0</v>
      </c>
      <c r="I95" s="14" t="str">
        <f t="shared" si="75"/>
        <v/>
      </c>
      <c r="J95" s="12"/>
      <c r="K95" s="12"/>
      <c r="L95" s="13">
        <f t="shared" si="76"/>
        <v>0</v>
      </c>
      <c r="M95" s="14" t="str">
        <f t="shared" si="77"/>
        <v/>
      </c>
      <c r="N95" s="12"/>
      <c r="O95" s="12"/>
      <c r="P95" s="13">
        <f t="shared" si="78"/>
        <v>0</v>
      </c>
      <c r="Q95" s="14" t="str">
        <f t="shared" si="79"/>
        <v/>
      </c>
      <c r="R95" s="12"/>
      <c r="S95" s="12"/>
      <c r="T95" s="13">
        <f t="shared" si="80"/>
        <v>0</v>
      </c>
      <c r="U95" s="14" t="str">
        <f t="shared" si="81"/>
        <v/>
      </c>
      <c r="V95" s="12"/>
      <c r="W95" s="12"/>
      <c r="X95" s="13">
        <f t="shared" si="82"/>
        <v>0</v>
      </c>
      <c r="Y95" s="14" t="str">
        <f t="shared" si="83"/>
        <v/>
      </c>
      <c r="Z95" s="12"/>
      <c r="AA95" s="12"/>
      <c r="AB95" s="13">
        <f t="shared" si="84"/>
        <v>0</v>
      </c>
      <c r="AC95" s="14" t="str">
        <f t="shared" si="85"/>
        <v/>
      </c>
      <c r="AD95" s="13">
        <f t="shared" si="86"/>
        <v>36519.39</v>
      </c>
      <c r="AE95" s="13">
        <f t="shared" si="87"/>
        <v>26800</v>
      </c>
      <c r="AF95" s="13">
        <f t="shared" si="88"/>
        <v>9719.39</v>
      </c>
      <c r="AG95" s="14">
        <f t="shared" si="89"/>
        <v>1.3626638059701492</v>
      </c>
    </row>
    <row r="96" spans="1:33" s="15" customFormat="1" x14ac:dyDescent="0.25">
      <c r="A96" s="11" t="s">
        <v>100</v>
      </c>
      <c r="B96" s="13">
        <f>17188.92</f>
        <v>17188.919999999998</v>
      </c>
      <c r="C96" s="13">
        <f>8000</f>
        <v>8000</v>
      </c>
      <c r="D96" s="13">
        <f t="shared" si="72"/>
        <v>9188.9199999999983</v>
      </c>
      <c r="E96" s="14">
        <f t="shared" si="73"/>
        <v>2.1486149999999999</v>
      </c>
      <c r="F96" s="12"/>
      <c r="G96" s="12"/>
      <c r="H96" s="13">
        <f t="shared" si="74"/>
        <v>0</v>
      </c>
      <c r="I96" s="14" t="str">
        <f t="shared" si="75"/>
        <v/>
      </c>
      <c r="J96" s="12"/>
      <c r="K96" s="12"/>
      <c r="L96" s="13">
        <f t="shared" si="76"/>
        <v>0</v>
      </c>
      <c r="M96" s="14" t="str">
        <f t="shared" si="77"/>
        <v/>
      </c>
      <c r="N96" s="13">
        <f>8112.25</f>
        <v>8112.25</v>
      </c>
      <c r="O96" s="13">
        <f>2000</f>
        <v>2000</v>
      </c>
      <c r="P96" s="13">
        <f t="shared" si="78"/>
        <v>6112.25</v>
      </c>
      <c r="Q96" s="14">
        <f t="shared" si="79"/>
        <v>4.0561249999999998</v>
      </c>
      <c r="R96" s="12"/>
      <c r="S96" s="12"/>
      <c r="T96" s="13">
        <f t="shared" si="80"/>
        <v>0</v>
      </c>
      <c r="U96" s="14" t="str">
        <f t="shared" si="81"/>
        <v/>
      </c>
      <c r="V96" s="12"/>
      <c r="W96" s="12"/>
      <c r="X96" s="13">
        <f t="shared" si="82"/>
        <v>0</v>
      </c>
      <c r="Y96" s="14" t="str">
        <f t="shared" si="83"/>
        <v/>
      </c>
      <c r="Z96" s="13">
        <f>28986.95</f>
        <v>28986.95</v>
      </c>
      <c r="AA96" s="13">
        <f>25000</f>
        <v>25000</v>
      </c>
      <c r="AB96" s="13">
        <f t="shared" si="84"/>
        <v>3986.9500000000007</v>
      </c>
      <c r="AC96" s="14">
        <f t="shared" si="85"/>
        <v>1.159478</v>
      </c>
      <c r="AD96" s="13">
        <f t="shared" si="86"/>
        <v>54288.119999999995</v>
      </c>
      <c r="AE96" s="13">
        <f t="shared" si="87"/>
        <v>35000</v>
      </c>
      <c r="AF96" s="13">
        <f t="shared" si="88"/>
        <v>19288.119999999995</v>
      </c>
      <c r="AG96" s="14">
        <f t="shared" si="89"/>
        <v>1.5510891428571427</v>
      </c>
    </row>
    <row r="97" spans="1:33" s="15" customFormat="1" x14ac:dyDescent="0.25">
      <c r="A97" s="11" t="s">
        <v>101</v>
      </c>
      <c r="B97" s="13">
        <f>4647.25</f>
        <v>4647.25</v>
      </c>
      <c r="C97" s="13">
        <f>14400</f>
        <v>14400</v>
      </c>
      <c r="D97" s="13">
        <f t="shared" si="72"/>
        <v>-9752.75</v>
      </c>
      <c r="E97" s="14">
        <f t="shared" si="73"/>
        <v>0.32272569444444443</v>
      </c>
      <c r="F97" s="13">
        <f>27.5</f>
        <v>27.5</v>
      </c>
      <c r="G97" s="12"/>
      <c r="H97" s="13">
        <f t="shared" si="74"/>
        <v>27.5</v>
      </c>
      <c r="I97" s="14" t="str">
        <f t="shared" si="75"/>
        <v/>
      </c>
      <c r="J97" s="12"/>
      <c r="K97" s="12"/>
      <c r="L97" s="13">
        <f t="shared" si="76"/>
        <v>0</v>
      </c>
      <c r="M97" s="14" t="str">
        <f t="shared" si="77"/>
        <v/>
      </c>
      <c r="N97" s="13">
        <f>498.75</f>
        <v>498.75</v>
      </c>
      <c r="O97" s="12"/>
      <c r="P97" s="13">
        <f t="shared" si="78"/>
        <v>498.75</v>
      </c>
      <c r="Q97" s="14" t="str">
        <f t="shared" si="79"/>
        <v/>
      </c>
      <c r="R97" s="13">
        <f>52.5</f>
        <v>52.5</v>
      </c>
      <c r="S97" s="12"/>
      <c r="T97" s="13">
        <f t="shared" si="80"/>
        <v>52.5</v>
      </c>
      <c r="U97" s="14" t="str">
        <f t="shared" si="81"/>
        <v/>
      </c>
      <c r="V97" s="12"/>
      <c r="W97" s="12"/>
      <c r="X97" s="13">
        <f t="shared" si="82"/>
        <v>0</v>
      </c>
      <c r="Y97" s="14" t="str">
        <f t="shared" si="83"/>
        <v/>
      </c>
      <c r="Z97" s="13">
        <f>3284</f>
        <v>3284</v>
      </c>
      <c r="AA97" s="12"/>
      <c r="AB97" s="13">
        <f t="shared" si="84"/>
        <v>3284</v>
      </c>
      <c r="AC97" s="14" t="str">
        <f t="shared" si="85"/>
        <v/>
      </c>
      <c r="AD97" s="13">
        <f t="shared" si="86"/>
        <v>8510</v>
      </c>
      <c r="AE97" s="13">
        <f t="shared" si="87"/>
        <v>14400</v>
      </c>
      <c r="AF97" s="13">
        <f t="shared" si="88"/>
        <v>-5890</v>
      </c>
      <c r="AG97" s="14">
        <f t="shared" si="89"/>
        <v>0.59097222222222223</v>
      </c>
    </row>
    <row r="98" spans="1:33" x14ac:dyDescent="0.25">
      <c r="A98" s="3" t="s">
        <v>102</v>
      </c>
      <c r="B98" s="7">
        <f>(((B94)+(B95))+(B96))+(B97)</f>
        <v>58355.56</v>
      </c>
      <c r="C98" s="7">
        <f>(((C94)+(C95))+(C96))+(C97)</f>
        <v>49200</v>
      </c>
      <c r="D98" s="7">
        <f t="shared" si="72"/>
        <v>9155.5599999999977</v>
      </c>
      <c r="E98" s="8">
        <f t="shared" si="73"/>
        <v>1.1860886178861789</v>
      </c>
      <c r="F98" s="7">
        <f>(((F94)+(F95))+(F96))+(F97)</f>
        <v>27.5</v>
      </c>
      <c r="G98" s="7">
        <f>(((G94)+(G95))+(G96))+(G97)</f>
        <v>0</v>
      </c>
      <c r="H98" s="7">
        <f t="shared" si="74"/>
        <v>27.5</v>
      </c>
      <c r="I98" s="8" t="str">
        <f t="shared" si="75"/>
        <v/>
      </c>
      <c r="J98" s="7">
        <f>(((J94)+(J95))+(J96))+(J97)</f>
        <v>0</v>
      </c>
      <c r="K98" s="7">
        <f>(((K94)+(K95))+(K96))+(K97)</f>
        <v>0</v>
      </c>
      <c r="L98" s="7">
        <f t="shared" si="76"/>
        <v>0</v>
      </c>
      <c r="M98" s="8" t="str">
        <f t="shared" si="77"/>
        <v/>
      </c>
      <c r="N98" s="7">
        <f>(((N94)+(N95))+(N96))+(N97)</f>
        <v>8611</v>
      </c>
      <c r="O98" s="7">
        <f>(((O94)+(O95))+(O96))+(O97)</f>
        <v>2000</v>
      </c>
      <c r="P98" s="7">
        <f t="shared" si="78"/>
        <v>6611</v>
      </c>
      <c r="Q98" s="8">
        <f t="shared" si="79"/>
        <v>4.3055000000000003</v>
      </c>
      <c r="R98" s="7">
        <f>(((R94)+(R95))+(R96))+(R97)</f>
        <v>52.5</v>
      </c>
      <c r="S98" s="7">
        <f>(((S94)+(S95))+(S96))+(S97)</f>
        <v>0</v>
      </c>
      <c r="T98" s="7">
        <f t="shared" si="80"/>
        <v>52.5</v>
      </c>
      <c r="U98" s="8" t="str">
        <f t="shared" si="81"/>
        <v/>
      </c>
      <c r="V98" s="7">
        <f>(((V94)+(V95))+(V96))+(V97)</f>
        <v>0</v>
      </c>
      <c r="W98" s="7">
        <f>(((W94)+(W95))+(W96))+(W97)</f>
        <v>0</v>
      </c>
      <c r="X98" s="7">
        <f t="shared" si="82"/>
        <v>0</v>
      </c>
      <c r="Y98" s="8" t="str">
        <f t="shared" si="83"/>
        <v/>
      </c>
      <c r="Z98" s="7">
        <f>(((Z94)+(Z95))+(Z96))+(Z97)</f>
        <v>32270.95</v>
      </c>
      <c r="AA98" s="7">
        <f>(((AA94)+(AA95))+(AA96))+(AA97)</f>
        <v>25000</v>
      </c>
      <c r="AB98" s="7">
        <f t="shared" si="84"/>
        <v>7270.9500000000007</v>
      </c>
      <c r="AC98" s="8">
        <f t="shared" si="85"/>
        <v>1.2908379999999999</v>
      </c>
      <c r="AD98" s="7">
        <f t="shared" si="86"/>
        <v>99317.51</v>
      </c>
      <c r="AE98" s="7">
        <f t="shared" si="87"/>
        <v>76200</v>
      </c>
      <c r="AF98" s="7">
        <f t="shared" si="88"/>
        <v>23117.509999999995</v>
      </c>
      <c r="AG98" s="8">
        <f t="shared" si="89"/>
        <v>1.3033793963254592</v>
      </c>
    </row>
    <row r="99" spans="1:33" x14ac:dyDescent="0.25">
      <c r="A99" s="3" t="s">
        <v>103</v>
      </c>
      <c r="B99" s="4"/>
      <c r="C99" s="4"/>
      <c r="D99" s="5">
        <f t="shared" si="72"/>
        <v>0</v>
      </c>
      <c r="E99" s="6" t="str">
        <f t="shared" si="73"/>
        <v/>
      </c>
      <c r="F99" s="4"/>
      <c r="G99" s="4"/>
      <c r="H99" s="5">
        <f t="shared" si="74"/>
        <v>0</v>
      </c>
      <c r="I99" s="6" t="str">
        <f t="shared" si="75"/>
        <v/>
      </c>
      <c r="J99" s="4"/>
      <c r="K99" s="4"/>
      <c r="L99" s="5">
        <f t="shared" si="76"/>
        <v>0</v>
      </c>
      <c r="M99" s="6" t="str">
        <f t="shared" si="77"/>
        <v/>
      </c>
      <c r="N99" s="4"/>
      <c r="O99" s="4"/>
      <c r="P99" s="5">
        <f t="shared" si="78"/>
        <v>0</v>
      </c>
      <c r="Q99" s="6" t="str">
        <f t="shared" si="79"/>
        <v/>
      </c>
      <c r="R99" s="4"/>
      <c r="S99" s="4"/>
      <c r="T99" s="5">
        <f t="shared" si="80"/>
        <v>0</v>
      </c>
      <c r="U99" s="6" t="str">
        <f t="shared" si="81"/>
        <v/>
      </c>
      <c r="V99" s="4"/>
      <c r="W99" s="4"/>
      <c r="X99" s="5">
        <f t="shared" si="82"/>
        <v>0</v>
      </c>
      <c r="Y99" s="6" t="str">
        <f t="shared" si="83"/>
        <v/>
      </c>
      <c r="Z99" s="4"/>
      <c r="AA99" s="4"/>
      <c r="AB99" s="5">
        <f t="shared" si="84"/>
        <v>0</v>
      </c>
      <c r="AC99" s="6" t="str">
        <f t="shared" si="85"/>
        <v/>
      </c>
      <c r="AD99" s="5">
        <f t="shared" si="86"/>
        <v>0</v>
      </c>
      <c r="AE99" s="5">
        <f t="shared" si="87"/>
        <v>0</v>
      </c>
      <c r="AF99" s="5">
        <f t="shared" si="88"/>
        <v>0</v>
      </c>
      <c r="AG99" s="6" t="str">
        <f t="shared" si="89"/>
        <v/>
      </c>
    </row>
    <row r="100" spans="1:33" x14ac:dyDescent="0.25">
      <c r="A100" s="3" t="s">
        <v>104</v>
      </c>
      <c r="B100" s="5">
        <f>1777.38</f>
        <v>1777.38</v>
      </c>
      <c r="C100" s="5">
        <v>70000</v>
      </c>
      <c r="D100" s="5">
        <f t="shared" si="72"/>
        <v>-68222.62</v>
      </c>
      <c r="E100" s="6">
        <f t="shared" si="73"/>
        <v>2.5391142857142859E-2</v>
      </c>
      <c r="F100" s="4"/>
      <c r="G100" s="4"/>
      <c r="H100" s="5">
        <f t="shared" si="74"/>
        <v>0</v>
      </c>
      <c r="I100" s="6" t="str">
        <f t="shared" si="75"/>
        <v/>
      </c>
      <c r="J100" s="4"/>
      <c r="K100" s="4"/>
      <c r="L100" s="5">
        <f t="shared" si="76"/>
        <v>0</v>
      </c>
      <c r="M100" s="6" t="str">
        <f t="shared" si="77"/>
        <v/>
      </c>
      <c r="N100" s="4"/>
      <c r="O100" s="5">
        <v>2000</v>
      </c>
      <c r="P100" s="5">
        <f t="shared" si="78"/>
        <v>-2000</v>
      </c>
      <c r="Q100" s="6">
        <f t="shared" si="79"/>
        <v>0</v>
      </c>
      <c r="R100" s="5">
        <f>548</f>
        <v>548</v>
      </c>
      <c r="S100" s="5">
        <f>3000</f>
        <v>3000</v>
      </c>
      <c r="T100" s="5">
        <f t="shared" si="80"/>
        <v>-2452</v>
      </c>
      <c r="U100" s="6">
        <f t="shared" si="81"/>
        <v>0.18266666666666667</v>
      </c>
      <c r="V100" s="4"/>
      <c r="W100" s="4"/>
      <c r="X100" s="5">
        <f t="shared" si="82"/>
        <v>0</v>
      </c>
      <c r="Y100" s="6" t="str">
        <f t="shared" si="83"/>
        <v/>
      </c>
      <c r="Z100" s="4"/>
      <c r="AA100" s="4"/>
      <c r="AB100" s="5">
        <f t="shared" si="84"/>
        <v>0</v>
      </c>
      <c r="AC100" s="6" t="str">
        <f t="shared" si="85"/>
        <v/>
      </c>
      <c r="AD100" s="5">
        <f t="shared" si="86"/>
        <v>2325.38</v>
      </c>
      <c r="AE100" s="5">
        <f t="shared" si="87"/>
        <v>75000</v>
      </c>
      <c r="AF100" s="5">
        <f t="shared" si="88"/>
        <v>-72674.62</v>
      </c>
      <c r="AG100" s="6">
        <f t="shared" si="89"/>
        <v>3.1005066666666668E-2</v>
      </c>
    </row>
    <row r="101" spans="1:33" x14ac:dyDescent="0.25">
      <c r="A101" s="3" t="s">
        <v>105</v>
      </c>
      <c r="B101" s="5">
        <f>262.25</f>
        <v>262.25</v>
      </c>
      <c r="C101" s="5">
        <v>1000</v>
      </c>
      <c r="D101" s="5">
        <f t="shared" si="72"/>
        <v>-737.75</v>
      </c>
      <c r="E101" s="6">
        <f t="shared" si="73"/>
        <v>0.26224999999999998</v>
      </c>
      <c r="F101" s="4"/>
      <c r="G101" s="4"/>
      <c r="H101" s="5">
        <f t="shared" si="74"/>
        <v>0</v>
      </c>
      <c r="I101" s="6" t="str">
        <f t="shared" si="75"/>
        <v/>
      </c>
      <c r="J101" s="4"/>
      <c r="K101" s="4"/>
      <c r="L101" s="5">
        <f t="shared" si="76"/>
        <v>0</v>
      </c>
      <c r="M101" s="6" t="str">
        <f t="shared" si="77"/>
        <v/>
      </c>
      <c r="N101" s="4"/>
      <c r="O101" s="5">
        <f>2000</f>
        <v>2000</v>
      </c>
      <c r="P101" s="5">
        <f t="shared" si="78"/>
        <v>-2000</v>
      </c>
      <c r="Q101" s="6">
        <f t="shared" si="79"/>
        <v>0</v>
      </c>
      <c r="R101" s="5">
        <f>120</f>
        <v>120</v>
      </c>
      <c r="S101" s="4">
        <v>2000</v>
      </c>
      <c r="T101" s="5">
        <f t="shared" si="80"/>
        <v>-1880</v>
      </c>
      <c r="U101" s="6">
        <f t="shared" si="81"/>
        <v>0.06</v>
      </c>
      <c r="V101" s="4"/>
      <c r="W101" s="4"/>
      <c r="X101" s="5">
        <f t="shared" si="82"/>
        <v>0</v>
      </c>
      <c r="Y101" s="6" t="str">
        <f t="shared" si="83"/>
        <v/>
      </c>
      <c r="Z101" s="5">
        <f>240</f>
        <v>240</v>
      </c>
      <c r="AA101" s="5">
        <v>2000</v>
      </c>
      <c r="AB101" s="5">
        <f t="shared" si="84"/>
        <v>-1760</v>
      </c>
      <c r="AC101" s="6">
        <f t="shared" si="85"/>
        <v>0.12</v>
      </c>
      <c r="AD101" s="5">
        <f t="shared" si="86"/>
        <v>622.25</v>
      </c>
      <c r="AE101" s="5">
        <f t="shared" si="87"/>
        <v>7000</v>
      </c>
      <c r="AF101" s="5">
        <f t="shared" si="88"/>
        <v>-6377.75</v>
      </c>
      <c r="AG101" s="6">
        <f t="shared" si="89"/>
        <v>8.8892857142857148E-2</v>
      </c>
    </row>
    <row r="102" spans="1:33" x14ac:dyDescent="0.25">
      <c r="A102" s="3" t="s">
        <v>106</v>
      </c>
      <c r="B102" s="5">
        <f>2415</f>
        <v>2415</v>
      </c>
      <c r="C102" s="4">
        <v>1500</v>
      </c>
      <c r="D102" s="5">
        <f t="shared" si="72"/>
        <v>915</v>
      </c>
      <c r="E102" s="6">
        <f t="shared" si="73"/>
        <v>1.61</v>
      </c>
      <c r="F102" s="4"/>
      <c r="G102" s="4"/>
      <c r="H102" s="5">
        <f t="shared" si="74"/>
        <v>0</v>
      </c>
      <c r="I102" s="6" t="str">
        <f t="shared" si="75"/>
        <v/>
      </c>
      <c r="J102" s="4"/>
      <c r="K102" s="4"/>
      <c r="L102" s="5">
        <f t="shared" si="76"/>
        <v>0</v>
      </c>
      <c r="M102" s="6" t="str">
        <f t="shared" si="77"/>
        <v/>
      </c>
      <c r="N102" s="5">
        <f>1600</f>
        <v>1600</v>
      </c>
      <c r="O102" s="5">
        <f>5000</f>
        <v>5000</v>
      </c>
      <c r="P102" s="5">
        <f t="shared" si="78"/>
        <v>-3400</v>
      </c>
      <c r="Q102" s="6">
        <f t="shared" si="79"/>
        <v>0.32</v>
      </c>
      <c r="R102" s="5">
        <f>428.67</f>
        <v>428.67</v>
      </c>
      <c r="S102" s="5">
        <v>2500</v>
      </c>
      <c r="T102" s="5">
        <f t="shared" si="80"/>
        <v>-2071.33</v>
      </c>
      <c r="U102" s="6">
        <f t="shared" si="81"/>
        <v>0.17146800000000001</v>
      </c>
      <c r="V102" s="4"/>
      <c r="W102" s="4"/>
      <c r="X102" s="5">
        <f t="shared" si="82"/>
        <v>0</v>
      </c>
      <c r="Y102" s="6" t="str">
        <f t="shared" si="83"/>
        <v/>
      </c>
      <c r="Z102" s="5">
        <f>5790</f>
        <v>5790</v>
      </c>
      <c r="AA102" s="5">
        <f>6000</f>
        <v>6000</v>
      </c>
      <c r="AB102" s="5">
        <f t="shared" si="84"/>
        <v>-210</v>
      </c>
      <c r="AC102" s="6">
        <f t="shared" si="85"/>
        <v>0.96499999999999997</v>
      </c>
      <c r="AD102" s="5">
        <f t="shared" si="86"/>
        <v>10233.67</v>
      </c>
      <c r="AE102" s="5">
        <f t="shared" si="87"/>
        <v>15000</v>
      </c>
      <c r="AF102" s="5">
        <f t="shared" si="88"/>
        <v>-4766.33</v>
      </c>
      <c r="AG102" s="6">
        <f t="shared" si="89"/>
        <v>0.68224466666666672</v>
      </c>
    </row>
    <row r="103" spans="1:33" x14ac:dyDescent="0.25">
      <c r="A103" s="3" t="s">
        <v>107</v>
      </c>
      <c r="B103" s="4"/>
      <c r="C103" s="4"/>
      <c r="D103" s="5">
        <f t="shared" si="72"/>
        <v>0</v>
      </c>
      <c r="E103" s="6" t="str">
        <f t="shared" si="73"/>
        <v/>
      </c>
      <c r="F103" s="4"/>
      <c r="G103" s="4"/>
      <c r="H103" s="5">
        <f t="shared" si="74"/>
        <v>0</v>
      </c>
      <c r="I103" s="6" t="str">
        <f t="shared" si="75"/>
        <v/>
      </c>
      <c r="J103" s="4"/>
      <c r="K103" s="4"/>
      <c r="L103" s="5">
        <f t="shared" si="76"/>
        <v>0</v>
      </c>
      <c r="M103" s="6" t="str">
        <f t="shared" si="77"/>
        <v/>
      </c>
      <c r="N103" s="4"/>
      <c r="O103" s="5">
        <f>1000</f>
        <v>1000</v>
      </c>
      <c r="P103" s="5">
        <f t="shared" si="78"/>
        <v>-1000</v>
      </c>
      <c r="Q103" s="6">
        <f t="shared" si="79"/>
        <v>0</v>
      </c>
      <c r="R103" s="4"/>
      <c r="S103" s="4"/>
      <c r="T103" s="5">
        <f t="shared" si="80"/>
        <v>0</v>
      </c>
      <c r="U103" s="6" t="str">
        <f t="shared" si="81"/>
        <v/>
      </c>
      <c r="V103" s="4"/>
      <c r="W103" s="4"/>
      <c r="X103" s="5">
        <f t="shared" si="82"/>
        <v>0</v>
      </c>
      <c r="Y103" s="6" t="str">
        <f t="shared" si="83"/>
        <v/>
      </c>
      <c r="Z103" s="4"/>
      <c r="AA103" s="4"/>
      <c r="AB103" s="5">
        <f t="shared" si="84"/>
        <v>0</v>
      </c>
      <c r="AC103" s="6" t="str">
        <f t="shared" si="85"/>
        <v/>
      </c>
      <c r="AD103" s="5">
        <f t="shared" si="86"/>
        <v>0</v>
      </c>
      <c r="AE103" s="5">
        <f t="shared" si="87"/>
        <v>1000</v>
      </c>
      <c r="AF103" s="5">
        <f t="shared" si="88"/>
        <v>-1000</v>
      </c>
      <c r="AG103" s="6">
        <f t="shared" si="89"/>
        <v>0</v>
      </c>
    </row>
    <row r="104" spans="1:33" x14ac:dyDescent="0.25">
      <c r="A104" s="3" t="s">
        <v>108</v>
      </c>
      <c r="B104" s="5">
        <f>178.35</f>
        <v>178.35</v>
      </c>
      <c r="C104" s="4"/>
      <c r="D104" s="5">
        <f t="shared" si="72"/>
        <v>178.35</v>
      </c>
      <c r="E104" s="6" t="str">
        <f t="shared" si="73"/>
        <v/>
      </c>
      <c r="F104" s="4"/>
      <c r="G104" s="4"/>
      <c r="H104" s="5">
        <f t="shared" si="74"/>
        <v>0</v>
      </c>
      <c r="I104" s="6" t="str">
        <f t="shared" si="75"/>
        <v/>
      </c>
      <c r="J104" s="4"/>
      <c r="K104" s="4"/>
      <c r="L104" s="5">
        <f t="shared" si="76"/>
        <v>0</v>
      </c>
      <c r="M104" s="6" t="str">
        <f t="shared" si="77"/>
        <v/>
      </c>
      <c r="N104" s="4"/>
      <c r="O104" s="4"/>
      <c r="P104" s="5">
        <f t="shared" si="78"/>
        <v>0</v>
      </c>
      <c r="Q104" s="6" t="str">
        <f t="shared" si="79"/>
        <v/>
      </c>
      <c r="R104" s="4"/>
      <c r="S104" s="4"/>
      <c r="T104" s="5">
        <f t="shared" si="80"/>
        <v>0</v>
      </c>
      <c r="U104" s="6" t="str">
        <f t="shared" si="81"/>
        <v/>
      </c>
      <c r="V104" s="5">
        <f>1250</f>
        <v>1250</v>
      </c>
      <c r="W104" s="5">
        <v>60000</v>
      </c>
      <c r="X104" s="5">
        <f t="shared" si="82"/>
        <v>-58750</v>
      </c>
      <c r="Y104" s="6">
        <f t="shared" si="83"/>
        <v>2.0833333333333332E-2</v>
      </c>
      <c r="Z104" s="4"/>
      <c r="AA104" s="4"/>
      <c r="AB104" s="5">
        <f t="shared" si="84"/>
        <v>0</v>
      </c>
      <c r="AC104" s="6" t="str">
        <f t="shared" si="85"/>
        <v/>
      </c>
      <c r="AD104" s="5">
        <f t="shared" si="86"/>
        <v>1428.35</v>
      </c>
      <c r="AE104" s="5">
        <f t="shared" si="87"/>
        <v>60000</v>
      </c>
      <c r="AF104" s="5">
        <f t="shared" si="88"/>
        <v>-58571.65</v>
      </c>
      <c r="AG104" s="6">
        <f t="shared" si="89"/>
        <v>2.3805833333333332E-2</v>
      </c>
    </row>
    <row r="105" spans="1:33" x14ac:dyDescent="0.25">
      <c r="A105" s="3" t="s">
        <v>109</v>
      </c>
      <c r="B105" s="4"/>
      <c r="C105" s="4"/>
      <c r="D105" s="5">
        <f t="shared" si="72"/>
        <v>0</v>
      </c>
      <c r="E105" s="6" t="str">
        <f t="shared" si="73"/>
        <v/>
      </c>
      <c r="F105" s="4"/>
      <c r="G105" s="4"/>
      <c r="H105" s="5">
        <f t="shared" si="74"/>
        <v>0</v>
      </c>
      <c r="I105" s="6" t="str">
        <f t="shared" si="75"/>
        <v/>
      </c>
      <c r="J105" s="4"/>
      <c r="K105" s="4"/>
      <c r="L105" s="5">
        <f t="shared" si="76"/>
        <v>0</v>
      </c>
      <c r="M105" s="6" t="str">
        <f t="shared" si="77"/>
        <v/>
      </c>
      <c r="N105" s="4"/>
      <c r="O105" s="4"/>
      <c r="P105" s="5">
        <f t="shared" si="78"/>
        <v>0</v>
      </c>
      <c r="Q105" s="6" t="str">
        <f t="shared" si="79"/>
        <v/>
      </c>
      <c r="R105" s="4"/>
      <c r="S105" s="5">
        <f>1000</f>
        <v>1000</v>
      </c>
      <c r="T105" s="5">
        <f t="shared" si="80"/>
        <v>-1000</v>
      </c>
      <c r="U105" s="6">
        <f t="shared" si="81"/>
        <v>0</v>
      </c>
      <c r="V105" s="4"/>
      <c r="W105" s="4"/>
      <c r="X105" s="5">
        <f t="shared" si="82"/>
        <v>0</v>
      </c>
      <c r="Y105" s="6" t="str">
        <f t="shared" si="83"/>
        <v/>
      </c>
      <c r="Z105" s="4"/>
      <c r="AA105" s="4"/>
      <c r="AB105" s="5">
        <f t="shared" si="84"/>
        <v>0</v>
      </c>
      <c r="AC105" s="6" t="str">
        <f t="shared" si="85"/>
        <v/>
      </c>
      <c r="AD105" s="5">
        <f t="shared" si="86"/>
        <v>0</v>
      </c>
      <c r="AE105" s="5">
        <f t="shared" si="87"/>
        <v>1000</v>
      </c>
      <c r="AF105" s="5">
        <f t="shared" si="88"/>
        <v>-1000</v>
      </c>
      <c r="AG105" s="6">
        <f t="shared" si="89"/>
        <v>0</v>
      </c>
    </row>
    <row r="106" spans="1:33" x14ac:dyDescent="0.25">
      <c r="A106" s="3" t="s">
        <v>110</v>
      </c>
      <c r="B106" s="7">
        <f>((((((B99)+(B100))+(B101))+(B102))+(B103))+(B104))+(B105)</f>
        <v>4632.9800000000005</v>
      </c>
      <c r="C106" s="7">
        <f>((((((C99)+(C100))+(C101))+(C102))+(C103))+(C104))+(C105)</f>
        <v>72500</v>
      </c>
      <c r="D106" s="7">
        <f t="shared" si="72"/>
        <v>-67867.02</v>
      </c>
      <c r="E106" s="8">
        <f t="shared" si="73"/>
        <v>6.3903172413793105E-2</v>
      </c>
      <c r="F106" s="7">
        <f>((((((F99)+(F100))+(F101))+(F102))+(F103))+(F104))+(F105)</f>
        <v>0</v>
      </c>
      <c r="G106" s="7">
        <f>((((((G99)+(G100))+(G101))+(G102))+(G103))+(G104))+(G105)</f>
        <v>0</v>
      </c>
      <c r="H106" s="7">
        <f t="shared" si="74"/>
        <v>0</v>
      </c>
      <c r="I106" s="8" t="str">
        <f t="shared" si="75"/>
        <v/>
      </c>
      <c r="J106" s="7">
        <f>((((((J99)+(J100))+(J101))+(J102))+(J103))+(J104))+(J105)</f>
        <v>0</v>
      </c>
      <c r="K106" s="7">
        <f>((((((K99)+(K100))+(K101))+(K102))+(K103))+(K104))+(K105)</f>
        <v>0</v>
      </c>
      <c r="L106" s="7">
        <f t="shared" si="76"/>
        <v>0</v>
      </c>
      <c r="M106" s="8" t="str">
        <f t="shared" si="77"/>
        <v/>
      </c>
      <c r="N106" s="7">
        <f>((((((N99)+(N100))+(N101))+(N102))+(N103))+(N104))+(N105)</f>
        <v>1600</v>
      </c>
      <c r="O106" s="7">
        <f>((((((O99)+(O100))+(O101))+(O102))+(O103))+(O104))+(O105)</f>
        <v>10000</v>
      </c>
      <c r="P106" s="7">
        <f t="shared" si="78"/>
        <v>-8400</v>
      </c>
      <c r="Q106" s="8">
        <f t="shared" si="79"/>
        <v>0.16</v>
      </c>
      <c r="R106" s="7">
        <f>((((((R99)+(R100))+(R101))+(R102))+(R103))+(R104))+(R105)</f>
        <v>1096.67</v>
      </c>
      <c r="S106" s="7">
        <f>((((((S99)+(S100))+(S101))+(S102))+(S103))+(S104))+(S105)</f>
        <v>8500</v>
      </c>
      <c r="T106" s="7">
        <f t="shared" si="80"/>
        <v>-7403.33</v>
      </c>
      <c r="U106" s="8">
        <f t="shared" si="81"/>
        <v>0.12902</v>
      </c>
      <c r="V106" s="7">
        <f>((((((V99)+(V100))+(V101))+(V102))+(V103))+(V104))+(V105)</f>
        <v>1250</v>
      </c>
      <c r="W106" s="7">
        <f>((((((W99)+(W100))+(W101))+(W102))+(W103))+(W104))+(W105)</f>
        <v>60000</v>
      </c>
      <c r="X106" s="7">
        <f t="shared" si="82"/>
        <v>-58750</v>
      </c>
      <c r="Y106" s="8">
        <f t="shared" si="83"/>
        <v>2.0833333333333332E-2</v>
      </c>
      <c r="Z106" s="7">
        <f>((((((Z99)+(Z100))+(Z101))+(Z102))+(Z103))+(Z104))+(Z105)</f>
        <v>6030</v>
      </c>
      <c r="AA106" s="7">
        <f>((((((AA99)+(AA100))+(AA101))+(AA102))+(AA103))+(AA104))+(AA105)</f>
        <v>8000</v>
      </c>
      <c r="AB106" s="7">
        <f t="shared" si="84"/>
        <v>-1970</v>
      </c>
      <c r="AC106" s="8">
        <f t="shared" si="85"/>
        <v>0.75375000000000003</v>
      </c>
      <c r="AD106" s="7">
        <f t="shared" si="86"/>
        <v>14609.650000000001</v>
      </c>
      <c r="AE106" s="7">
        <f t="shared" si="87"/>
        <v>159000</v>
      </c>
      <c r="AF106" s="7">
        <f t="shared" si="88"/>
        <v>-144390.35</v>
      </c>
      <c r="AG106" s="8">
        <f t="shared" si="89"/>
        <v>9.1884591194968557E-2</v>
      </c>
    </row>
    <row r="107" spans="1:33" x14ac:dyDescent="0.25">
      <c r="A107" s="3" t="s">
        <v>111</v>
      </c>
      <c r="B107" s="5">
        <f>156.51</f>
        <v>156.51</v>
      </c>
      <c r="C107" s="5">
        <v>1000</v>
      </c>
      <c r="D107" s="5">
        <f t="shared" si="72"/>
        <v>-843.49</v>
      </c>
      <c r="E107" s="6">
        <f t="shared" si="73"/>
        <v>0.15650999999999998</v>
      </c>
      <c r="F107" s="4"/>
      <c r="G107" s="4"/>
      <c r="H107" s="5">
        <f t="shared" si="74"/>
        <v>0</v>
      </c>
      <c r="I107" s="6" t="str">
        <f t="shared" si="75"/>
        <v/>
      </c>
      <c r="J107" s="4"/>
      <c r="K107" s="4"/>
      <c r="L107" s="5">
        <f t="shared" si="76"/>
        <v>0</v>
      </c>
      <c r="M107" s="6" t="str">
        <f t="shared" si="77"/>
        <v/>
      </c>
      <c r="N107" s="4"/>
      <c r="O107" s="5">
        <v>0</v>
      </c>
      <c r="P107" s="5">
        <f t="shared" si="78"/>
        <v>0</v>
      </c>
      <c r="Q107" s="6" t="str">
        <f t="shared" si="79"/>
        <v/>
      </c>
      <c r="R107" s="4"/>
      <c r="S107" s="4"/>
      <c r="T107" s="5">
        <f t="shared" si="80"/>
        <v>0</v>
      </c>
      <c r="U107" s="6" t="str">
        <f t="shared" si="81"/>
        <v/>
      </c>
      <c r="V107" s="4"/>
      <c r="W107" s="4"/>
      <c r="X107" s="5">
        <f t="shared" si="82"/>
        <v>0</v>
      </c>
      <c r="Y107" s="6" t="str">
        <f t="shared" si="83"/>
        <v/>
      </c>
      <c r="Z107" s="5">
        <f>74.75</f>
        <v>74.75</v>
      </c>
      <c r="AA107" s="5">
        <f>600</f>
        <v>600</v>
      </c>
      <c r="AB107" s="5">
        <f t="shared" si="84"/>
        <v>-525.25</v>
      </c>
      <c r="AC107" s="6">
        <f t="shared" si="85"/>
        <v>0.12458333333333334</v>
      </c>
      <c r="AD107" s="5">
        <f t="shared" si="86"/>
        <v>231.26</v>
      </c>
      <c r="AE107" s="5">
        <f t="shared" si="87"/>
        <v>1600</v>
      </c>
      <c r="AF107" s="5">
        <f t="shared" si="88"/>
        <v>-1368.74</v>
      </c>
      <c r="AG107" s="6">
        <f t="shared" si="89"/>
        <v>0.14453749999999999</v>
      </c>
    </row>
    <row r="108" spans="1:33" x14ac:dyDescent="0.25">
      <c r="A108" s="3" t="s">
        <v>112</v>
      </c>
      <c r="B108" s="5">
        <v>7200</v>
      </c>
      <c r="C108" s="5">
        <v>20000</v>
      </c>
      <c r="D108" s="5">
        <f t="shared" si="72"/>
        <v>-12800</v>
      </c>
      <c r="E108" s="6">
        <f t="shared" si="73"/>
        <v>0.36</v>
      </c>
      <c r="F108" s="4"/>
      <c r="G108" s="4"/>
      <c r="H108" s="5">
        <f t="shared" si="74"/>
        <v>0</v>
      </c>
      <c r="I108" s="6" t="str">
        <f t="shared" si="75"/>
        <v/>
      </c>
      <c r="J108" s="4"/>
      <c r="K108" s="4"/>
      <c r="L108" s="5">
        <f t="shared" si="76"/>
        <v>0</v>
      </c>
      <c r="M108" s="6" t="str">
        <f t="shared" si="77"/>
        <v/>
      </c>
      <c r="N108" s="4"/>
      <c r="O108" s="4"/>
      <c r="P108" s="5">
        <f t="shared" si="78"/>
        <v>0</v>
      </c>
      <c r="Q108" s="6" t="str">
        <f t="shared" si="79"/>
        <v/>
      </c>
      <c r="R108" s="4"/>
      <c r="S108" s="4"/>
      <c r="T108" s="5">
        <f t="shared" si="80"/>
        <v>0</v>
      </c>
      <c r="U108" s="6" t="str">
        <f t="shared" si="81"/>
        <v/>
      </c>
      <c r="V108" s="4"/>
      <c r="W108" s="4"/>
      <c r="X108" s="5">
        <f t="shared" si="82"/>
        <v>0</v>
      </c>
      <c r="Y108" s="6" t="str">
        <f t="shared" si="83"/>
        <v/>
      </c>
      <c r="Z108" s="4"/>
      <c r="AA108" s="4"/>
      <c r="AB108" s="5">
        <f t="shared" si="84"/>
        <v>0</v>
      </c>
      <c r="AC108" s="6" t="str">
        <f t="shared" si="85"/>
        <v/>
      </c>
      <c r="AD108" s="5">
        <f t="shared" si="86"/>
        <v>7200</v>
      </c>
      <c r="AE108" s="5">
        <f t="shared" si="87"/>
        <v>20000</v>
      </c>
      <c r="AF108" s="5">
        <f t="shared" si="88"/>
        <v>-12800</v>
      </c>
      <c r="AG108" s="6">
        <f t="shared" si="89"/>
        <v>0.36</v>
      </c>
    </row>
    <row r="109" spans="1:33" x14ac:dyDescent="0.25">
      <c r="A109" s="3" t="s">
        <v>113</v>
      </c>
      <c r="B109" s="5">
        <f>3987.99</f>
        <v>3987.99</v>
      </c>
      <c r="C109" s="5">
        <f>4000</f>
        <v>4000</v>
      </c>
      <c r="D109" s="5">
        <f t="shared" si="72"/>
        <v>-12.010000000000218</v>
      </c>
      <c r="E109" s="6">
        <f t="shared" si="73"/>
        <v>0.99699749999999998</v>
      </c>
      <c r="F109" s="4"/>
      <c r="G109" s="5">
        <f>500</f>
        <v>500</v>
      </c>
      <c r="H109" s="5">
        <f t="shared" si="74"/>
        <v>-500</v>
      </c>
      <c r="I109" s="6">
        <f t="shared" si="75"/>
        <v>0</v>
      </c>
      <c r="J109" s="4"/>
      <c r="K109" s="4"/>
      <c r="L109" s="5">
        <f t="shared" si="76"/>
        <v>0</v>
      </c>
      <c r="M109" s="6" t="str">
        <f t="shared" si="77"/>
        <v/>
      </c>
      <c r="N109" s="5">
        <f>1597.06</f>
        <v>1597.06</v>
      </c>
      <c r="O109" s="5">
        <f>2500</f>
        <v>2500</v>
      </c>
      <c r="P109" s="5">
        <f t="shared" si="78"/>
        <v>-902.94</v>
      </c>
      <c r="Q109" s="6">
        <f t="shared" si="79"/>
        <v>0.63882399999999995</v>
      </c>
      <c r="R109" s="4"/>
      <c r="S109" s="4"/>
      <c r="T109" s="5">
        <f t="shared" si="80"/>
        <v>0</v>
      </c>
      <c r="U109" s="6" t="str">
        <f t="shared" si="81"/>
        <v/>
      </c>
      <c r="V109" s="4"/>
      <c r="W109" s="4"/>
      <c r="X109" s="5">
        <f t="shared" si="82"/>
        <v>0</v>
      </c>
      <c r="Y109" s="6" t="str">
        <f t="shared" si="83"/>
        <v/>
      </c>
      <c r="Z109" s="5">
        <f>3326.64</f>
        <v>3326.64</v>
      </c>
      <c r="AA109" s="5">
        <f>2500</f>
        <v>2500</v>
      </c>
      <c r="AB109" s="5">
        <f t="shared" si="84"/>
        <v>826.63999999999987</v>
      </c>
      <c r="AC109" s="6">
        <f t="shared" si="85"/>
        <v>1.3306559999999998</v>
      </c>
      <c r="AD109" s="5">
        <f t="shared" si="86"/>
        <v>8911.6899999999987</v>
      </c>
      <c r="AE109" s="5">
        <f t="shared" si="87"/>
        <v>9500</v>
      </c>
      <c r="AF109" s="5">
        <f t="shared" si="88"/>
        <v>-588.31000000000131</v>
      </c>
      <c r="AG109" s="6">
        <f t="shared" si="89"/>
        <v>0.93807263157894727</v>
      </c>
    </row>
    <row r="110" spans="1:33" x14ac:dyDescent="0.25">
      <c r="A110" s="3" t="s">
        <v>114</v>
      </c>
      <c r="B110" s="5">
        <f>746.1</f>
        <v>746.1</v>
      </c>
      <c r="C110" s="5">
        <f>750</f>
        <v>750</v>
      </c>
      <c r="D110" s="5">
        <f t="shared" si="72"/>
        <v>-3.8999999999999773</v>
      </c>
      <c r="E110" s="6">
        <f t="shared" si="73"/>
        <v>0.99480000000000002</v>
      </c>
      <c r="F110" s="4"/>
      <c r="G110" s="4"/>
      <c r="H110" s="5">
        <f t="shared" si="74"/>
        <v>0</v>
      </c>
      <c r="I110" s="6" t="str">
        <f t="shared" si="75"/>
        <v/>
      </c>
      <c r="J110" s="4"/>
      <c r="K110" s="4"/>
      <c r="L110" s="5">
        <f t="shared" si="76"/>
        <v>0</v>
      </c>
      <c r="M110" s="6" t="str">
        <f t="shared" si="77"/>
        <v/>
      </c>
      <c r="N110" s="5">
        <f>0.05</f>
        <v>0.05</v>
      </c>
      <c r="O110" s="4"/>
      <c r="P110" s="5">
        <f t="shared" si="78"/>
        <v>0.05</v>
      </c>
      <c r="Q110" s="6" t="str">
        <f t="shared" si="79"/>
        <v/>
      </c>
      <c r="R110" s="4"/>
      <c r="S110" s="4"/>
      <c r="T110" s="5">
        <f t="shared" si="80"/>
        <v>0</v>
      </c>
      <c r="U110" s="6" t="str">
        <f t="shared" si="81"/>
        <v/>
      </c>
      <c r="V110" s="4"/>
      <c r="W110" s="4"/>
      <c r="X110" s="5">
        <f t="shared" si="82"/>
        <v>0</v>
      </c>
      <c r="Y110" s="6" t="str">
        <f t="shared" si="83"/>
        <v/>
      </c>
      <c r="Z110" s="4"/>
      <c r="AA110" s="4"/>
      <c r="AB110" s="5">
        <f t="shared" si="84"/>
        <v>0</v>
      </c>
      <c r="AC110" s="6" t="str">
        <f t="shared" si="85"/>
        <v/>
      </c>
      <c r="AD110" s="5">
        <f t="shared" si="86"/>
        <v>746.15</v>
      </c>
      <c r="AE110" s="5">
        <f t="shared" si="87"/>
        <v>750</v>
      </c>
      <c r="AF110" s="5">
        <f t="shared" si="88"/>
        <v>-3.8500000000000227</v>
      </c>
      <c r="AG110" s="6">
        <f t="shared" si="89"/>
        <v>0.99486666666666668</v>
      </c>
    </row>
    <row r="111" spans="1:33" x14ac:dyDescent="0.25">
      <c r="A111" s="3" t="s">
        <v>115</v>
      </c>
      <c r="B111" s="5">
        <f>2027.06</f>
        <v>2027.06</v>
      </c>
      <c r="C111" s="5">
        <v>2500</v>
      </c>
      <c r="D111" s="5">
        <f t="shared" si="72"/>
        <v>-472.94000000000005</v>
      </c>
      <c r="E111" s="6">
        <f t="shared" si="73"/>
        <v>0.81082399999999999</v>
      </c>
      <c r="F111" s="5">
        <f>39.07</f>
        <v>39.07</v>
      </c>
      <c r="G111" s="5">
        <v>1500</v>
      </c>
      <c r="H111" s="5">
        <f t="shared" si="74"/>
        <v>-1460.93</v>
      </c>
      <c r="I111" s="6">
        <f t="shared" si="75"/>
        <v>2.6046666666666666E-2</v>
      </c>
      <c r="J111" s="4"/>
      <c r="K111" s="4"/>
      <c r="L111" s="5">
        <f t="shared" si="76"/>
        <v>0</v>
      </c>
      <c r="M111" s="6" t="str">
        <f t="shared" si="77"/>
        <v/>
      </c>
      <c r="N111" s="5">
        <f>963.82</f>
        <v>963.82</v>
      </c>
      <c r="O111" s="5">
        <v>1500</v>
      </c>
      <c r="P111" s="5">
        <f t="shared" si="78"/>
        <v>-536.17999999999995</v>
      </c>
      <c r="Q111" s="6">
        <f t="shared" si="79"/>
        <v>0.64254666666666671</v>
      </c>
      <c r="R111" s="4"/>
      <c r="S111" s="4"/>
      <c r="T111" s="5">
        <f t="shared" si="80"/>
        <v>0</v>
      </c>
      <c r="U111" s="6" t="str">
        <f t="shared" si="81"/>
        <v/>
      </c>
      <c r="V111" s="4"/>
      <c r="W111" s="4"/>
      <c r="X111" s="5">
        <f t="shared" si="82"/>
        <v>0</v>
      </c>
      <c r="Y111" s="6" t="str">
        <f t="shared" si="83"/>
        <v/>
      </c>
      <c r="Z111" s="5">
        <f>1967.66</f>
        <v>1967.66</v>
      </c>
      <c r="AA111" s="5">
        <v>1500</v>
      </c>
      <c r="AB111" s="5">
        <f t="shared" si="84"/>
        <v>467.66000000000008</v>
      </c>
      <c r="AC111" s="6">
        <f t="shared" si="85"/>
        <v>1.3117733333333335</v>
      </c>
      <c r="AD111" s="5">
        <f t="shared" si="86"/>
        <v>4997.6100000000006</v>
      </c>
      <c r="AE111" s="5">
        <f t="shared" si="87"/>
        <v>7000</v>
      </c>
      <c r="AF111" s="5">
        <f t="shared" si="88"/>
        <v>-2002.3899999999994</v>
      </c>
      <c r="AG111" s="6">
        <f t="shared" si="89"/>
        <v>0.71394428571428581</v>
      </c>
    </row>
    <row r="112" spans="1:33" x14ac:dyDescent="0.25">
      <c r="A112" s="3" t="s">
        <v>116</v>
      </c>
      <c r="B112" s="5">
        <f>306.4</f>
        <v>306.39999999999998</v>
      </c>
      <c r="C112" s="5">
        <v>3500</v>
      </c>
      <c r="D112" s="5">
        <f t="shared" si="72"/>
        <v>-3193.6</v>
      </c>
      <c r="E112" s="6">
        <f t="shared" si="73"/>
        <v>8.7542857142857131E-2</v>
      </c>
      <c r="F112" s="4"/>
      <c r="G112" s="4"/>
      <c r="H112" s="5">
        <f t="shared" si="74"/>
        <v>0</v>
      </c>
      <c r="I112" s="6" t="str">
        <f t="shared" si="75"/>
        <v/>
      </c>
      <c r="J112" s="4"/>
      <c r="K112" s="4"/>
      <c r="L112" s="5">
        <f t="shared" si="76"/>
        <v>0</v>
      </c>
      <c r="M112" s="6" t="str">
        <f t="shared" si="77"/>
        <v/>
      </c>
      <c r="N112" s="5">
        <f>2039.67</f>
        <v>2039.67</v>
      </c>
      <c r="O112" s="5">
        <v>2000</v>
      </c>
      <c r="P112" s="5">
        <f t="shared" si="78"/>
        <v>39.670000000000073</v>
      </c>
      <c r="Q112" s="6">
        <f t="shared" si="79"/>
        <v>1.019835</v>
      </c>
      <c r="R112" s="4"/>
      <c r="S112" s="4"/>
      <c r="T112" s="5">
        <f t="shared" si="80"/>
        <v>0</v>
      </c>
      <c r="U112" s="6" t="str">
        <f t="shared" si="81"/>
        <v/>
      </c>
      <c r="V112" s="4"/>
      <c r="W112" s="4"/>
      <c r="X112" s="5">
        <f t="shared" si="82"/>
        <v>0</v>
      </c>
      <c r="Y112" s="6" t="str">
        <f t="shared" si="83"/>
        <v/>
      </c>
      <c r="Z112" s="5">
        <f>2912.42</f>
        <v>2912.42</v>
      </c>
      <c r="AA112" s="5">
        <v>2000</v>
      </c>
      <c r="AB112" s="5">
        <f t="shared" si="84"/>
        <v>912.42000000000007</v>
      </c>
      <c r="AC112" s="6">
        <f t="shared" si="85"/>
        <v>1.45621</v>
      </c>
      <c r="AD112" s="5">
        <f t="shared" si="86"/>
        <v>5258.49</v>
      </c>
      <c r="AE112" s="5">
        <f t="shared" si="87"/>
        <v>7500</v>
      </c>
      <c r="AF112" s="5">
        <f t="shared" si="88"/>
        <v>-2241.5100000000002</v>
      </c>
      <c r="AG112" s="6">
        <f t="shared" si="89"/>
        <v>0.70113199999999998</v>
      </c>
    </row>
    <row r="113" spans="1:33" x14ac:dyDescent="0.25">
      <c r="A113" s="3" t="s">
        <v>117</v>
      </c>
      <c r="B113" s="4"/>
      <c r="C113" s="4"/>
      <c r="D113" s="5">
        <f t="shared" si="72"/>
        <v>0</v>
      </c>
      <c r="E113" s="6" t="str">
        <f t="shared" si="73"/>
        <v/>
      </c>
      <c r="F113" s="4"/>
      <c r="G113" s="4"/>
      <c r="H113" s="5">
        <f t="shared" si="74"/>
        <v>0</v>
      </c>
      <c r="I113" s="6" t="str">
        <f t="shared" si="75"/>
        <v/>
      </c>
      <c r="J113" s="4"/>
      <c r="K113" s="4"/>
      <c r="L113" s="5">
        <f t="shared" si="76"/>
        <v>0</v>
      </c>
      <c r="M113" s="6" t="str">
        <f t="shared" si="77"/>
        <v/>
      </c>
      <c r="N113" s="4"/>
      <c r="O113" s="4"/>
      <c r="P113" s="5">
        <f t="shared" si="78"/>
        <v>0</v>
      </c>
      <c r="Q113" s="6" t="str">
        <f t="shared" si="79"/>
        <v/>
      </c>
      <c r="R113" s="4"/>
      <c r="S113" s="4"/>
      <c r="T113" s="5">
        <f t="shared" si="80"/>
        <v>0</v>
      </c>
      <c r="U113" s="6" t="str">
        <f t="shared" si="81"/>
        <v/>
      </c>
      <c r="V113" s="4"/>
      <c r="W113" s="4"/>
      <c r="X113" s="5">
        <f t="shared" si="82"/>
        <v>0</v>
      </c>
      <c r="Y113" s="6" t="str">
        <f t="shared" si="83"/>
        <v/>
      </c>
      <c r="Z113" s="4"/>
      <c r="AA113" s="4"/>
      <c r="AB113" s="5">
        <f t="shared" si="84"/>
        <v>0</v>
      </c>
      <c r="AC113" s="6" t="str">
        <f t="shared" si="85"/>
        <v/>
      </c>
      <c r="AD113" s="5">
        <f t="shared" si="86"/>
        <v>0</v>
      </c>
      <c r="AE113" s="5">
        <f t="shared" si="87"/>
        <v>0</v>
      </c>
      <c r="AF113" s="5">
        <f t="shared" si="88"/>
        <v>0</v>
      </c>
      <c r="AG113" s="6" t="str">
        <f t="shared" si="89"/>
        <v/>
      </c>
    </row>
    <row r="114" spans="1:33" x14ac:dyDescent="0.25">
      <c r="A114" s="3" t="s">
        <v>118</v>
      </c>
      <c r="B114" s="4"/>
      <c r="C114" s="4"/>
      <c r="D114" s="5">
        <f t="shared" si="72"/>
        <v>0</v>
      </c>
      <c r="E114" s="6" t="str">
        <f t="shared" si="73"/>
        <v/>
      </c>
      <c r="F114" s="4"/>
      <c r="G114" s="4"/>
      <c r="H114" s="5">
        <f t="shared" si="74"/>
        <v>0</v>
      </c>
      <c r="I114" s="6" t="str">
        <f t="shared" si="75"/>
        <v/>
      </c>
      <c r="J114" s="4"/>
      <c r="K114" s="4"/>
      <c r="L114" s="5">
        <f t="shared" si="76"/>
        <v>0</v>
      </c>
      <c r="M114" s="6" t="str">
        <f t="shared" si="77"/>
        <v/>
      </c>
      <c r="N114" s="4"/>
      <c r="O114" s="4"/>
      <c r="P114" s="5">
        <f t="shared" si="78"/>
        <v>0</v>
      </c>
      <c r="Q114" s="6" t="str">
        <f t="shared" si="79"/>
        <v/>
      </c>
      <c r="R114" s="4"/>
      <c r="S114" s="4"/>
      <c r="T114" s="5">
        <f t="shared" si="80"/>
        <v>0</v>
      </c>
      <c r="U114" s="6" t="str">
        <f t="shared" si="81"/>
        <v/>
      </c>
      <c r="V114" s="4"/>
      <c r="W114" s="4"/>
      <c r="X114" s="5">
        <f t="shared" si="82"/>
        <v>0</v>
      </c>
      <c r="Y114" s="6" t="str">
        <f t="shared" si="83"/>
        <v/>
      </c>
      <c r="Z114" s="4"/>
      <c r="AA114" s="5">
        <v>10000</v>
      </c>
      <c r="AB114" s="5">
        <f t="shared" si="84"/>
        <v>-10000</v>
      </c>
      <c r="AC114" s="6">
        <f t="shared" si="85"/>
        <v>0</v>
      </c>
      <c r="AD114" s="5">
        <f t="shared" si="86"/>
        <v>0</v>
      </c>
      <c r="AE114" s="5">
        <f t="shared" si="87"/>
        <v>10000</v>
      </c>
      <c r="AF114" s="5">
        <f t="shared" si="88"/>
        <v>-10000</v>
      </c>
      <c r="AG114" s="6">
        <f t="shared" si="89"/>
        <v>0</v>
      </c>
    </row>
    <row r="115" spans="1:33" x14ac:dyDescent="0.25">
      <c r="A115" s="3" t="s">
        <v>119</v>
      </c>
      <c r="B115" s="7">
        <f>(B113)+(B114)</f>
        <v>0</v>
      </c>
      <c r="C115" s="7">
        <f>(C113)+(C114)</f>
        <v>0</v>
      </c>
      <c r="D115" s="7">
        <f t="shared" si="72"/>
        <v>0</v>
      </c>
      <c r="E115" s="8" t="str">
        <f t="shared" si="73"/>
        <v/>
      </c>
      <c r="F115" s="7">
        <f>(F113)+(F114)</f>
        <v>0</v>
      </c>
      <c r="G115" s="7">
        <f>(G113)+(G114)</f>
        <v>0</v>
      </c>
      <c r="H115" s="7">
        <f t="shared" si="74"/>
        <v>0</v>
      </c>
      <c r="I115" s="8" t="str">
        <f t="shared" si="75"/>
        <v/>
      </c>
      <c r="J115" s="7">
        <f>(J113)+(J114)</f>
        <v>0</v>
      </c>
      <c r="K115" s="7">
        <f>(K113)+(K114)</f>
        <v>0</v>
      </c>
      <c r="L115" s="7">
        <f t="shared" si="76"/>
        <v>0</v>
      </c>
      <c r="M115" s="8" t="str">
        <f t="shared" si="77"/>
        <v/>
      </c>
      <c r="N115" s="7">
        <f>(N113)+(N114)</f>
        <v>0</v>
      </c>
      <c r="O115" s="7">
        <f>(O113)+(O114)</f>
        <v>0</v>
      </c>
      <c r="P115" s="7">
        <f t="shared" si="78"/>
        <v>0</v>
      </c>
      <c r="Q115" s="8" t="str">
        <f t="shared" si="79"/>
        <v/>
      </c>
      <c r="R115" s="7">
        <f>(R113)+(R114)</f>
        <v>0</v>
      </c>
      <c r="S115" s="7">
        <f>(S113)+(S114)</f>
        <v>0</v>
      </c>
      <c r="T115" s="7">
        <f t="shared" si="80"/>
        <v>0</v>
      </c>
      <c r="U115" s="8" t="str">
        <f t="shared" si="81"/>
        <v/>
      </c>
      <c r="V115" s="7">
        <f>(V113)+(V114)</f>
        <v>0</v>
      </c>
      <c r="W115" s="7">
        <f>(W113)+(W114)</f>
        <v>0</v>
      </c>
      <c r="X115" s="7">
        <f t="shared" si="82"/>
        <v>0</v>
      </c>
      <c r="Y115" s="8" t="str">
        <f t="shared" si="83"/>
        <v/>
      </c>
      <c r="Z115" s="7">
        <f>(Z113)+(Z114)</f>
        <v>0</v>
      </c>
      <c r="AA115" s="7">
        <f>(AA113)+(AA114)</f>
        <v>10000</v>
      </c>
      <c r="AB115" s="7">
        <f t="shared" si="84"/>
        <v>-10000</v>
      </c>
      <c r="AC115" s="8">
        <f t="shared" si="85"/>
        <v>0</v>
      </c>
      <c r="AD115" s="7">
        <f t="shared" si="86"/>
        <v>0</v>
      </c>
      <c r="AE115" s="7">
        <f t="shared" si="87"/>
        <v>10000</v>
      </c>
      <c r="AF115" s="7">
        <f t="shared" si="88"/>
        <v>-10000</v>
      </c>
      <c r="AG115" s="8">
        <f t="shared" si="89"/>
        <v>0</v>
      </c>
    </row>
    <row r="116" spans="1:33" x14ac:dyDescent="0.25">
      <c r="A116" s="3" t="s">
        <v>120</v>
      </c>
      <c r="B116" s="4"/>
      <c r="C116" s="4"/>
      <c r="D116" s="5">
        <f t="shared" si="72"/>
        <v>0</v>
      </c>
      <c r="E116" s="6" t="str">
        <f t="shared" si="73"/>
        <v/>
      </c>
      <c r="F116" s="4"/>
      <c r="G116" s="4"/>
      <c r="H116" s="5">
        <f t="shared" si="74"/>
        <v>0</v>
      </c>
      <c r="I116" s="6" t="str">
        <f t="shared" si="75"/>
        <v/>
      </c>
      <c r="J116" s="4"/>
      <c r="K116" s="4"/>
      <c r="L116" s="5">
        <f t="shared" si="76"/>
        <v>0</v>
      </c>
      <c r="M116" s="6" t="str">
        <f t="shared" si="77"/>
        <v/>
      </c>
      <c r="N116" s="4"/>
      <c r="O116" s="4"/>
      <c r="P116" s="5">
        <f t="shared" si="78"/>
        <v>0</v>
      </c>
      <c r="Q116" s="6" t="str">
        <f t="shared" si="79"/>
        <v/>
      </c>
      <c r="R116" s="4"/>
      <c r="S116" s="4"/>
      <c r="T116" s="5">
        <f t="shared" si="80"/>
        <v>0</v>
      </c>
      <c r="U116" s="6" t="str">
        <f t="shared" si="81"/>
        <v/>
      </c>
      <c r="V116" s="4"/>
      <c r="W116" s="4"/>
      <c r="X116" s="5">
        <f t="shared" si="82"/>
        <v>0</v>
      </c>
      <c r="Y116" s="6" t="str">
        <f t="shared" si="83"/>
        <v/>
      </c>
      <c r="Z116" s="4"/>
      <c r="AA116" s="4"/>
      <c r="AB116" s="5">
        <f t="shared" si="84"/>
        <v>0</v>
      </c>
      <c r="AC116" s="6" t="str">
        <f t="shared" si="85"/>
        <v/>
      </c>
      <c r="AD116" s="5">
        <f t="shared" si="86"/>
        <v>0</v>
      </c>
      <c r="AE116" s="5">
        <f t="shared" si="87"/>
        <v>0</v>
      </c>
      <c r="AF116" s="5">
        <f t="shared" si="88"/>
        <v>0</v>
      </c>
      <c r="AG116" s="6" t="str">
        <f t="shared" si="89"/>
        <v/>
      </c>
    </row>
    <row r="117" spans="1:33" x14ac:dyDescent="0.25">
      <c r="A117" s="3" t="s">
        <v>121</v>
      </c>
      <c r="B117" s="5">
        <f>84517.98</f>
        <v>84517.98</v>
      </c>
      <c r="C117" s="5">
        <f>110800</f>
        <v>110800</v>
      </c>
      <c r="D117" s="5">
        <f t="shared" si="72"/>
        <v>-26282.020000000004</v>
      </c>
      <c r="E117" s="6">
        <f t="shared" si="73"/>
        <v>0.76279765342960282</v>
      </c>
      <c r="F117" s="4"/>
      <c r="G117" s="4"/>
      <c r="H117" s="5">
        <f t="shared" si="74"/>
        <v>0</v>
      </c>
      <c r="I117" s="6" t="str">
        <f t="shared" si="75"/>
        <v/>
      </c>
      <c r="J117" s="4"/>
      <c r="K117" s="4"/>
      <c r="L117" s="5">
        <f t="shared" si="76"/>
        <v>0</v>
      </c>
      <c r="M117" s="6" t="str">
        <f t="shared" si="77"/>
        <v/>
      </c>
      <c r="N117" s="5">
        <f>47082.8</f>
        <v>47082.8</v>
      </c>
      <c r="O117" s="5">
        <v>134100</v>
      </c>
      <c r="P117" s="5">
        <f t="shared" si="78"/>
        <v>-87017.2</v>
      </c>
      <c r="Q117" s="6">
        <f t="shared" si="79"/>
        <v>0.35110216256524984</v>
      </c>
      <c r="R117" s="4"/>
      <c r="S117" s="4"/>
      <c r="T117" s="5">
        <f t="shared" si="80"/>
        <v>0</v>
      </c>
      <c r="U117" s="6" t="str">
        <f t="shared" si="81"/>
        <v/>
      </c>
      <c r="V117" s="4"/>
      <c r="W117" s="4"/>
      <c r="X117" s="5">
        <f t="shared" si="82"/>
        <v>0</v>
      </c>
      <c r="Y117" s="6" t="str">
        <f t="shared" si="83"/>
        <v/>
      </c>
      <c r="Z117" s="5">
        <f>99710.64</f>
        <v>99710.64</v>
      </c>
      <c r="AA117" s="5">
        <v>134100</v>
      </c>
      <c r="AB117" s="5">
        <f t="shared" si="84"/>
        <v>-34389.360000000001</v>
      </c>
      <c r="AC117" s="6">
        <f t="shared" si="85"/>
        <v>0.7435543624161074</v>
      </c>
      <c r="AD117" s="5">
        <f t="shared" si="86"/>
        <v>231311.41999999998</v>
      </c>
      <c r="AE117" s="5">
        <f t="shared" si="87"/>
        <v>379000</v>
      </c>
      <c r="AF117" s="5">
        <f t="shared" si="88"/>
        <v>-147688.58000000002</v>
      </c>
      <c r="AG117" s="6">
        <f t="shared" si="89"/>
        <v>0.61032036939313983</v>
      </c>
    </row>
    <row r="118" spans="1:33" x14ac:dyDescent="0.25">
      <c r="A118" s="3" t="s">
        <v>122</v>
      </c>
      <c r="B118" s="5">
        <f>21647.4</f>
        <v>21647.4</v>
      </c>
      <c r="C118" s="5">
        <v>20000</v>
      </c>
      <c r="D118" s="5">
        <f t="shared" si="72"/>
        <v>1647.4000000000015</v>
      </c>
      <c r="E118" s="6">
        <f t="shared" si="73"/>
        <v>1.0823700000000001</v>
      </c>
      <c r="F118" s="5">
        <f>68.34</f>
        <v>68.34</v>
      </c>
      <c r="G118" s="4"/>
      <c r="H118" s="5">
        <f t="shared" si="74"/>
        <v>68.34</v>
      </c>
      <c r="I118" s="6" t="str">
        <f t="shared" si="75"/>
        <v/>
      </c>
      <c r="J118" s="4"/>
      <c r="K118" s="4"/>
      <c r="L118" s="5">
        <f t="shared" si="76"/>
        <v>0</v>
      </c>
      <c r="M118" s="6" t="str">
        <f t="shared" si="77"/>
        <v/>
      </c>
      <c r="N118" s="5">
        <f>11377.1</f>
        <v>11377.1</v>
      </c>
      <c r="O118" s="5">
        <v>22500</v>
      </c>
      <c r="P118" s="5">
        <f t="shared" si="78"/>
        <v>-11122.9</v>
      </c>
      <c r="Q118" s="6">
        <f t="shared" si="79"/>
        <v>0.50564888888888893</v>
      </c>
      <c r="R118" s="4"/>
      <c r="S118" s="4"/>
      <c r="T118" s="5">
        <f t="shared" si="80"/>
        <v>0</v>
      </c>
      <c r="U118" s="6" t="str">
        <f t="shared" si="81"/>
        <v/>
      </c>
      <c r="V118" s="4"/>
      <c r="W118" s="4"/>
      <c r="X118" s="5">
        <f t="shared" si="82"/>
        <v>0</v>
      </c>
      <c r="Y118" s="6" t="str">
        <f t="shared" si="83"/>
        <v/>
      </c>
      <c r="Z118" s="5">
        <f>22065.07</f>
        <v>22065.07</v>
      </c>
      <c r="AA118" s="5">
        <v>22500</v>
      </c>
      <c r="AB118" s="5">
        <f t="shared" si="84"/>
        <v>-434.93000000000029</v>
      </c>
      <c r="AC118" s="6">
        <f t="shared" si="85"/>
        <v>0.98066977777777775</v>
      </c>
      <c r="AD118" s="5">
        <f t="shared" si="86"/>
        <v>55157.91</v>
      </c>
      <c r="AE118" s="5">
        <f t="shared" si="87"/>
        <v>65000</v>
      </c>
      <c r="AF118" s="5">
        <f t="shared" si="88"/>
        <v>-9842.0899999999965</v>
      </c>
      <c r="AG118" s="6">
        <f t="shared" si="89"/>
        <v>0.84858323076923081</v>
      </c>
    </row>
    <row r="119" spans="1:33" x14ac:dyDescent="0.25">
      <c r="A119" s="3" t="s">
        <v>123</v>
      </c>
      <c r="B119" s="5">
        <f>432.57</f>
        <v>432.57</v>
      </c>
      <c r="C119" s="5">
        <v>1200</v>
      </c>
      <c r="D119" s="5">
        <f t="shared" si="72"/>
        <v>-767.43000000000006</v>
      </c>
      <c r="E119" s="6">
        <f t="shared" si="73"/>
        <v>0.36047499999999999</v>
      </c>
      <c r="F119" s="4"/>
      <c r="G119" s="4"/>
      <c r="H119" s="5">
        <f t="shared" si="74"/>
        <v>0</v>
      </c>
      <c r="I119" s="6" t="str">
        <f t="shared" si="75"/>
        <v/>
      </c>
      <c r="J119" s="4"/>
      <c r="K119" s="4"/>
      <c r="L119" s="5">
        <f t="shared" si="76"/>
        <v>0</v>
      </c>
      <c r="M119" s="6" t="str">
        <f t="shared" si="77"/>
        <v/>
      </c>
      <c r="N119" s="5">
        <f>778.53</f>
        <v>778.53</v>
      </c>
      <c r="O119" s="5">
        <v>1500</v>
      </c>
      <c r="P119" s="5">
        <f t="shared" si="78"/>
        <v>-721.47</v>
      </c>
      <c r="Q119" s="6">
        <f t="shared" si="79"/>
        <v>0.51902000000000004</v>
      </c>
      <c r="R119" s="4"/>
      <c r="S119" s="4"/>
      <c r="T119" s="5">
        <f t="shared" si="80"/>
        <v>0</v>
      </c>
      <c r="U119" s="6" t="str">
        <f t="shared" si="81"/>
        <v/>
      </c>
      <c r="V119" s="4"/>
      <c r="W119" s="4"/>
      <c r="X119" s="5">
        <f t="shared" si="82"/>
        <v>0</v>
      </c>
      <c r="Y119" s="6" t="str">
        <f t="shared" si="83"/>
        <v/>
      </c>
      <c r="Z119" s="5">
        <f>1766.23</f>
        <v>1766.23</v>
      </c>
      <c r="AA119" s="5">
        <f>2500</f>
        <v>2500</v>
      </c>
      <c r="AB119" s="5">
        <f t="shared" si="84"/>
        <v>-733.77</v>
      </c>
      <c r="AC119" s="6">
        <f t="shared" si="85"/>
        <v>0.70649200000000001</v>
      </c>
      <c r="AD119" s="5">
        <f t="shared" si="86"/>
        <v>2977.33</v>
      </c>
      <c r="AE119" s="5">
        <f t="shared" si="87"/>
        <v>5200</v>
      </c>
      <c r="AF119" s="5">
        <f t="shared" si="88"/>
        <v>-2222.67</v>
      </c>
      <c r="AG119" s="6">
        <f t="shared" si="89"/>
        <v>0.57256346153846149</v>
      </c>
    </row>
    <row r="120" spans="1:33" x14ac:dyDescent="0.25">
      <c r="A120" s="3" t="s">
        <v>124</v>
      </c>
      <c r="B120" s="4"/>
      <c r="C120" s="5">
        <f>300</f>
        <v>300</v>
      </c>
      <c r="D120" s="5">
        <f t="shared" si="72"/>
        <v>-300</v>
      </c>
      <c r="E120" s="6">
        <f t="shared" si="73"/>
        <v>0</v>
      </c>
      <c r="F120" s="4"/>
      <c r="G120" s="4"/>
      <c r="H120" s="5">
        <f t="shared" si="74"/>
        <v>0</v>
      </c>
      <c r="I120" s="6" t="str">
        <f t="shared" si="75"/>
        <v/>
      </c>
      <c r="J120" s="4"/>
      <c r="K120" s="4"/>
      <c r="L120" s="5">
        <f t="shared" si="76"/>
        <v>0</v>
      </c>
      <c r="M120" s="6" t="str">
        <f t="shared" si="77"/>
        <v/>
      </c>
      <c r="N120" s="4"/>
      <c r="O120" s="4">
        <v>300</v>
      </c>
      <c r="P120" s="5">
        <f t="shared" si="78"/>
        <v>-300</v>
      </c>
      <c r="Q120" s="6">
        <f t="shared" si="79"/>
        <v>0</v>
      </c>
      <c r="R120" s="4"/>
      <c r="S120" s="4"/>
      <c r="T120" s="5">
        <f t="shared" si="80"/>
        <v>0</v>
      </c>
      <c r="U120" s="6" t="str">
        <f t="shared" si="81"/>
        <v/>
      </c>
      <c r="V120" s="4"/>
      <c r="W120" s="4"/>
      <c r="X120" s="5">
        <f t="shared" si="82"/>
        <v>0</v>
      </c>
      <c r="Y120" s="6" t="str">
        <f t="shared" si="83"/>
        <v/>
      </c>
      <c r="Z120" s="5">
        <f>7.44</f>
        <v>7.44</v>
      </c>
      <c r="AA120" s="4">
        <v>300</v>
      </c>
      <c r="AB120" s="5">
        <f t="shared" si="84"/>
        <v>-292.56</v>
      </c>
      <c r="AC120" s="6">
        <f t="shared" si="85"/>
        <v>2.4800000000000003E-2</v>
      </c>
      <c r="AD120" s="5">
        <f t="shared" si="86"/>
        <v>7.44</v>
      </c>
      <c r="AE120" s="5">
        <f t="shared" si="87"/>
        <v>900</v>
      </c>
      <c r="AF120" s="5">
        <f t="shared" si="88"/>
        <v>-892.56</v>
      </c>
      <c r="AG120" s="6">
        <f t="shared" si="89"/>
        <v>8.266666666666667E-3</v>
      </c>
    </row>
    <row r="121" spans="1:33" x14ac:dyDescent="0.25">
      <c r="A121" s="3" t="s">
        <v>125</v>
      </c>
      <c r="B121" s="5">
        <f>5733.64</f>
        <v>5733.64</v>
      </c>
      <c r="C121" s="5">
        <v>14333.32</v>
      </c>
      <c r="D121" s="5">
        <f t="shared" si="72"/>
        <v>-8599.68</v>
      </c>
      <c r="E121" s="6">
        <f t="shared" si="73"/>
        <v>0.40002176746210932</v>
      </c>
      <c r="F121" s="4"/>
      <c r="G121" s="4"/>
      <c r="H121" s="5">
        <f t="shared" si="74"/>
        <v>0</v>
      </c>
      <c r="I121" s="6" t="str">
        <f t="shared" si="75"/>
        <v/>
      </c>
      <c r="J121" s="4"/>
      <c r="K121" s="4"/>
      <c r="L121" s="5">
        <f t="shared" si="76"/>
        <v>0</v>
      </c>
      <c r="M121" s="6" t="str">
        <f t="shared" si="77"/>
        <v/>
      </c>
      <c r="N121" s="5">
        <f>3938.17</f>
        <v>3938.17</v>
      </c>
      <c r="O121" s="5">
        <v>16333.34</v>
      </c>
      <c r="P121" s="5">
        <f t="shared" si="78"/>
        <v>-12395.17</v>
      </c>
      <c r="Q121" s="6">
        <f t="shared" si="79"/>
        <v>0.24111235056638752</v>
      </c>
      <c r="R121" s="4"/>
      <c r="S121" s="4"/>
      <c r="T121" s="5">
        <f t="shared" si="80"/>
        <v>0</v>
      </c>
      <c r="U121" s="6" t="str">
        <f t="shared" si="81"/>
        <v/>
      </c>
      <c r="V121" s="4"/>
      <c r="W121" s="4"/>
      <c r="X121" s="5">
        <f t="shared" si="82"/>
        <v>0</v>
      </c>
      <c r="Y121" s="6" t="str">
        <f t="shared" si="83"/>
        <v/>
      </c>
      <c r="Z121" s="5">
        <f>7911.75</f>
        <v>7911.75</v>
      </c>
      <c r="AA121" s="5">
        <v>16333.34</v>
      </c>
      <c r="AB121" s="5">
        <f t="shared" si="84"/>
        <v>-8421.59</v>
      </c>
      <c r="AC121" s="6">
        <f t="shared" si="85"/>
        <v>0.48439265943156756</v>
      </c>
      <c r="AD121" s="5">
        <f t="shared" si="86"/>
        <v>17583.560000000001</v>
      </c>
      <c r="AE121" s="5">
        <f t="shared" si="87"/>
        <v>47000</v>
      </c>
      <c r="AF121" s="5">
        <f t="shared" si="88"/>
        <v>-29416.44</v>
      </c>
      <c r="AG121" s="6">
        <f t="shared" si="89"/>
        <v>0.37411829787234047</v>
      </c>
    </row>
    <row r="122" spans="1:33" x14ac:dyDescent="0.25">
      <c r="A122" s="3" t="s">
        <v>126</v>
      </c>
      <c r="B122" s="7">
        <f>(((((B116)+(B117))+(B118))+(B119))+(B120))+(B121)</f>
        <v>112331.59000000001</v>
      </c>
      <c r="C122" s="7">
        <f>(((((C116)+(C117))+(C118))+(C119))+(C120))+(C121)</f>
        <v>146633.32</v>
      </c>
      <c r="D122" s="7">
        <f t="shared" si="72"/>
        <v>-34301.729999999996</v>
      </c>
      <c r="E122" s="8">
        <f t="shared" si="73"/>
        <v>0.76607138132042574</v>
      </c>
      <c r="F122" s="7">
        <f>(((((F116)+(F117))+(F118))+(F119))+(F120))+(F121)</f>
        <v>68.34</v>
      </c>
      <c r="G122" s="7">
        <f>(((((G116)+(G117))+(G118))+(G119))+(G120))+(G121)</f>
        <v>0</v>
      </c>
      <c r="H122" s="7">
        <f t="shared" si="74"/>
        <v>68.34</v>
      </c>
      <c r="I122" s="8" t="str">
        <f t="shared" si="75"/>
        <v/>
      </c>
      <c r="J122" s="7">
        <f>(((((J116)+(J117))+(J118))+(J119))+(J120))+(J121)</f>
        <v>0</v>
      </c>
      <c r="K122" s="7">
        <f>(((((K116)+(K117))+(K118))+(K119))+(K120))+(K121)</f>
        <v>0</v>
      </c>
      <c r="L122" s="7">
        <f t="shared" si="76"/>
        <v>0</v>
      </c>
      <c r="M122" s="8" t="str">
        <f t="shared" si="77"/>
        <v/>
      </c>
      <c r="N122" s="7">
        <f>(((((N116)+(N117))+(N118))+(N119))+(N120))+(N121)</f>
        <v>63176.6</v>
      </c>
      <c r="O122" s="7">
        <f>(((((O116)+(O117))+(O118))+(O119))+(O120))+(O121)</f>
        <v>174733.34</v>
      </c>
      <c r="P122" s="7">
        <f t="shared" si="78"/>
        <v>-111556.73999999999</v>
      </c>
      <c r="Q122" s="8">
        <f t="shared" si="79"/>
        <v>0.36156007777336596</v>
      </c>
      <c r="R122" s="7">
        <f>(((((R116)+(R117))+(R118))+(R119))+(R120))+(R121)</f>
        <v>0</v>
      </c>
      <c r="S122" s="7">
        <f>(((((S116)+(S117))+(S118))+(S119))+(S120))+(S121)</f>
        <v>0</v>
      </c>
      <c r="T122" s="7">
        <f t="shared" si="80"/>
        <v>0</v>
      </c>
      <c r="U122" s="8" t="str">
        <f t="shared" si="81"/>
        <v/>
      </c>
      <c r="V122" s="7">
        <f>(((((V116)+(V117))+(V118))+(V119))+(V120))+(V121)</f>
        <v>0</v>
      </c>
      <c r="W122" s="7">
        <f>(((((W116)+(W117))+(W118))+(W119))+(W120))+(W121)</f>
        <v>0</v>
      </c>
      <c r="X122" s="7">
        <f t="shared" si="82"/>
        <v>0</v>
      </c>
      <c r="Y122" s="8" t="str">
        <f t="shared" si="83"/>
        <v/>
      </c>
      <c r="Z122" s="7">
        <f>(((((Z116)+(Z117))+(Z118))+(Z119))+(Z120))+(Z121)</f>
        <v>131461.13</v>
      </c>
      <c r="AA122" s="7">
        <f>(((((AA116)+(AA117))+(AA118))+(AA119))+(AA120))+(AA121)</f>
        <v>175733.34</v>
      </c>
      <c r="AB122" s="7">
        <f t="shared" si="84"/>
        <v>-44272.209999999992</v>
      </c>
      <c r="AC122" s="8">
        <f t="shared" si="85"/>
        <v>0.74807165219758531</v>
      </c>
      <c r="AD122" s="7">
        <f t="shared" si="86"/>
        <v>307037.66000000003</v>
      </c>
      <c r="AE122" s="7">
        <f t="shared" si="87"/>
        <v>497100</v>
      </c>
      <c r="AF122" s="7">
        <f t="shared" si="88"/>
        <v>-190062.33999999997</v>
      </c>
      <c r="AG122" s="8">
        <f t="shared" si="89"/>
        <v>0.61765773486220088</v>
      </c>
    </row>
    <row r="123" spans="1:33" x14ac:dyDescent="0.25">
      <c r="A123" s="3" t="s">
        <v>127</v>
      </c>
      <c r="B123" s="5">
        <v>2251</v>
      </c>
      <c r="C123" s="5">
        <v>2200</v>
      </c>
      <c r="D123" s="5">
        <f t="shared" si="72"/>
        <v>51</v>
      </c>
      <c r="E123" s="6">
        <f t="shared" si="73"/>
        <v>1.0231818181818182</v>
      </c>
      <c r="F123" s="4"/>
      <c r="G123" s="4"/>
      <c r="H123" s="5">
        <f t="shared" si="74"/>
        <v>0</v>
      </c>
      <c r="I123" s="6" t="str">
        <f t="shared" si="75"/>
        <v/>
      </c>
      <c r="J123" s="4"/>
      <c r="K123" s="4"/>
      <c r="L123" s="5">
        <f t="shared" si="76"/>
        <v>0</v>
      </c>
      <c r="M123" s="6" t="str">
        <f t="shared" si="77"/>
        <v/>
      </c>
      <c r="N123" s="4"/>
      <c r="O123" s="4"/>
      <c r="P123" s="5">
        <f t="shared" si="78"/>
        <v>0</v>
      </c>
      <c r="Q123" s="6" t="str">
        <f t="shared" si="79"/>
        <v/>
      </c>
      <c r="R123" s="4"/>
      <c r="S123" s="4"/>
      <c r="T123" s="5">
        <f t="shared" si="80"/>
        <v>0</v>
      </c>
      <c r="U123" s="6" t="str">
        <f t="shared" si="81"/>
        <v/>
      </c>
      <c r="V123" s="4"/>
      <c r="W123" s="4"/>
      <c r="X123" s="5">
        <f t="shared" si="82"/>
        <v>0</v>
      </c>
      <c r="Y123" s="6" t="str">
        <f t="shared" si="83"/>
        <v/>
      </c>
      <c r="Z123" s="4"/>
      <c r="AA123" s="4"/>
      <c r="AB123" s="5">
        <f t="shared" si="84"/>
        <v>0</v>
      </c>
      <c r="AC123" s="6" t="str">
        <f t="shared" si="85"/>
        <v/>
      </c>
      <c r="AD123" s="5">
        <f t="shared" si="86"/>
        <v>2251</v>
      </c>
      <c r="AE123" s="5">
        <f t="shared" si="87"/>
        <v>2200</v>
      </c>
      <c r="AF123" s="5">
        <f t="shared" si="88"/>
        <v>51</v>
      </c>
      <c r="AG123" s="6">
        <f t="shared" si="89"/>
        <v>1.0231818181818182</v>
      </c>
    </row>
    <row r="124" spans="1:33" x14ac:dyDescent="0.25">
      <c r="A124" s="3" t="s">
        <v>128</v>
      </c>
      <c r="B124" s="5">
        <f>1261.5</f>
        <v>1261.5</v>
      </c>
      <c r="C124" s="5">
        <v>2000</v>
      </c>
      <c r="D124" s="5">
        <f t="shared" si="72"/>
        <v>-738.5</v>
      </c>
      <c r="E124" s="6">
        <f t="shared" si="73"/>
        <v>0.63075000000000003</v>
      </c>
      <c r="F124" s="4"/>
      <c r="G124" s="4"/>
      <c r="H124" s="5">
        <f t="shared" si="74"/>
        <v>0</v>
      </c>
      <c r="I124" s="6" t="str">
        <f t="shared" si="75"/>
        <v/>
      </c>
      <c r="J124" s="4"/>
      <c r="K124" s="4"/>
      <c r="L124" s="5">
        <f t="shared" si="76"/>
        <v>0</v>
      </c>
      <c r="M124" s="6" t="str">
        <f t="shared" si="77"/>
        <v/>
      </c>
      <c r="N124" s="5">
        <f>450</f>
        <v>450</v>
      </c>
      <c r="O124" s="5">
        <v>1500</v>
      </c>
      <c r="P124" s="5">
        <f t="shared" si="78"/>
        <v>-1050</v>
      </c>
      <c r="Q124" s="6">
        <f t="shared" si="79"/>
        <v>0.3</v>
      </c>
      <c r="R124" s="4"/>
      <c r="S124" s="4"/>
      <c r="T124" s="5">
        <f t="shared" si="80"/>
        <v>0</v>
      </c>
      <c r="U124" s="6" t="str">
        <f t="shared" si="81"/>
        <v/>
      </c>
      <c r="V124" s="4"/>
      <c r="W124" s="4"/>
      <c r="X124" s="5">
        <f t="shared" si="82"/>
        <v>0</v>
      </c>
      <c r="Y124" s="6" t="str">
        <f t="shared" si="83"/>
        <v/>
      </c>
      <c r="Z124" s="4"/>
      <c r="AA124" s="5">
        <f>500</f>
        <v>500</v>
      </c>
      <c r="AB124" s="5">
        <v>1500</v>
      </c>
      <c r="AC124" s="6">
        <f t="shared" si="85"/>
        <v>0</v>
      </c>
      <c r="AD124" s="5">
        <f t="shared" si="86"/>
        <v>1711.5</v>
      </c>
      <c r="AE124" s="5">
        <f t="shared" si="87"/>
        <v>4000</v>
      </c>
      <c r="AF124" s="5">
        <f t="shared" si="88"/>
        <v>-2288.5</v>
      </c>
      <c r="AG124" s="6">
        <f t="shared" si="89"/>
        <v>0.42787500000000001</v>
      </c>
    </row>
    <row r="125" spans="1:33" x14ac:dyDescent="0.25">
      <c r="A125" s="3" t="s">
        <v>129</v>
      </c>
      <c r="B125" s="4"/>
      <c r="C125" s="4"/>
      <c r="D125" s="5">
        <f t="shared" si="72"/>
        <v>0</v>
      </c>
      <c r="E125" s="6" t="str">
        <f t="shared" si="73"/>
        <v/>
      </c>
      <c r="F125" s="4"/>
      <c r="G125" s="4"/>
      <c r="H125" s="5">
        <f t="shared" si="74"/>
        <v>0</v>
      </c>
      <c r="I125" s="6" t="str">
        <f t="shared" si="75"/>
        <v/>
      </c>
      <c r="J125" s="4"/>
      <c r="K125" s="4"/>
      <c r="L125" s="5">
        <f t="shared" si="76"/>
        <v>0</v>
      </c>
      <c r="M125" s="6" t="str">
        <f t="shared" si="77"/>
        <v/>
      </c>
      <c r="N125" s="4"/>
      <c r="O125" s="4"/>
      <c r="P125" s="5">
        <f t="shared" si="78"/>
        <v>0</v>
      </c>
      <c r="Q125" s="6" t="str">
        <f t="shared" si="79"/>
        <v/>
      </c>
      <c r="R125" s="4"/>
      <c r="S125" s="4"/>
      <c r="T125" s="5">
        <f t="shared" si="80"/>
        <v>0</v>
      </c>
      <c r="U125" s="6" t="str">
        <f t="shared" si="81"/>
        <v/>
      </c>
      <c r="V125" s="5">
        <f>11930</f>
        <v>11930</v>
      </c>
      <c r="W125" s="4"/>
      <c r="X125" s="5">
        <f t="shared" si="82"/>
        <v>11930</v>
      </c>
      <c r="Y125" s="6" t="str">
        <f t="shared" si="83"/>
        <v/>
      </c>
      <c r="Z125" s="4"/>
      <c r="AA125" s="4"/>
      <c r="AB125" s="5">
        <f t="shared" si="84"/>
        <v>0</v>
      </c>
      <c r="AC125" s="6" t="str">
        <f t="shared" si="85"/>
        <v/>
      </c>
      <c r="AD125" s="5">
        <f t="shared" si="86"/>
        <v>11930</v>
      </c>
      <c r="AE125" s="5">
        <f t="shared" si="87"/>
        <v>0</v>
      </c>
      <c r="AF125" s="5">
        <f t="shared" si="88"/>
        <v>11930</v>
      </c>
      <c r="AG125" s="6" t="str">
        <f t="shared" si="89"/>
        <v/>
      </c>
    </row>
    <row r="126" spans="1:33" x14ac:dyDescent="0.25">
      <c r="A126" s="3" t="s">
        <v>130</v>
      </c>
      <c r="B126" s="5">
        <v>640.53</v>
      </c>
      <c r="C126" s="5">
        <v>700</v>
      </c>
      <c r="D126" s="5">
        <f t="shared" ref="D126:D137" si="90">(B126)-(C126)</f>
        <v>-59.470000000000027</v>
      </c>
      <c r="E126" s="6">
        <f t="shared" ref="E126:E137" si="91">IF(C126=0,"",(B126)/(C126))</f>
        <v>0.91504285714285716</v>
      </c>
      <c r="F126" s="5">
        <f>216.78</f>
        <v>216.78</v>
      </c>
      <c r="G126" s="4"/>
      <c r="H126" s="5">
        <f t="shared" ref="H126:H137" si="92">(F126)-(G126)</f>
        <v>216.78</v>
      </c>
      <c r="I126" s="6" t="str">
        <f t="shared" ref="I126:I137" si="93">IF(G126=0,"",(F126)/(G126))</f>
        <v/>
      </c>
      <c r="J126" s="4"/>
      <c r="K126" s="4"/>
      <c r="L126" s="5">
        <f t="shared" ref="L126:L137" si="94">(J126)-(K126)</f>
        <v>0</v>
      </c>
      <c r="M126" s="6" t="str">
        <f t="shared" ref="M126:M137" si="95">IF(K126=0,"",(J126)/(K126))</f>
        <v/>
      </c>
      <c r="N126" s="4"/>
      <c r="O126" s="4"/>
      <c r="P126" s="5">
        <f t="shared" ref="P126:P137" si="96">(N126)-(O126)</f>
        <v>0</v>
      </c>
      <c r="Q126" s="6" t="str">
        <f t="shared" ref="Q126:Q137" si="97">IF(O126=0,"",(N126)/(O126))</f>
        <v/>
      </c>
      <c r="R126" s="4"/>
      <c r="S126" s="4"/>
      <c r="T126" s="5">
        <f t="shared" ref="T126:T137" si="98">(R126)-(S126)</f>
        <v>0</v>
      </c>
      <c r="U126" s="6" t="str">
        <f t="shared" ref="U126:U137" si="99">IF(S126=0,"",(R126)/(S126))</f>
        <v/>
      </c>
      <c r="V126" s="4"/>
      <c r="W126" s="4"/>
      <c r="X126" s="5">
        <f t="shared" ref="X126:X137" si="100">(V126)-(W126)</f>
        <v>0</v>
      </c>
      <c r="Y126" s="6" t="str">
        <f t="shared" ref="Y126:Y137" si="101">IF(W126=0,"",(V126)/(W126))</f>
        <v/>
      </c>
      <c r="Z126" s="4"/>
      <c r="AA126" s="4"/>
      <c r="AB126" s="5">
        <f t="shared" ref="AB126:AB137" si="102">(Z126)-(AA126)</f>
        <v>0</v>
      </c>
      <c r="AC126" s="6" t="str">
        <f t="shared" ref="AC126:AC137" si="103">IF(AA126=0,"",(Z126)/(AA126))</f>
        <v/>
      </c>
      <c r="AD126" s="5">
        <f t="shared" ref="AD126:AD137" si="104">((((((B126)+(F126))+(J126))+(N126))+(R126))+(V126))+(Z126)</f>
        <v>857.31</v>
      </c>
      <c r="AE126" s="5">
        <f t="shared" ref="AE126:AE137" si="105">((((((C126)+(G126))+(K126))+(O126))+(S126))+(W126))+(AA126)</f>
        <v>700</v>
      </c>
      <c r="AF126" s="5">
        <f t="shared" ref="AF126:AF137" si="106">(AD126)-(AE126)</f>
        <v>157.30999999999995</v>
      </c>
      <c r="AG126" s="6">
        <f t="shared" ref="AG126:AG137" si="107">IF(AE126=0,"",(AD126)/(AE126))</f>
        <v>1.2247285714285714</v>
      </c>
    </row>
    <row r="127" spans="1:33" x14ac:dyDescent="0.25">
      <c r="A127" s="3" t="s">
        <v>131</v>
      </c>
      <c r="B127" s="5">
        <f>226.92</f>
        <v>226.92</v>
      </c>
      <c r="C127" s="5">
        <v>1300</v>
      </c>
      <c r="D127" s="5">
        <f t="shared" si="90"/>
        <v>-1073.08</v>
      </c>
      <c r="E127" s="6">
        <f t="shared" si="91"/>
        <v>0.17455384615384614</v>
      </c>
      <c r="F127" s="33">
        <v>0</v>
      </c>
      <c r="G127" s="33">
        <v>0</v>
      </c>
      <c r="H127" s="5">
        <f t="shared" si="92"/>
        <v>0</v>
      </c>
      <c r="I127" s="6" t="str">
        <f t="shared" si="93"/>
        <v/>
      </c>
      <c r="J127" s="4"/>
      <c r="K127" s="4"/>
      <c r="L127" s="5">
        <f t="shared" si="94"/>
        <v>0</v>
      </c>
      <c r="M127" s="6" t="str">
        <f t="shared" si="95"/>
        <v/>
      </c>
      <c r="N127" s="5">
        <f>226.87</f>
        <v>226.87</v>
      </c>
      <c r="O127" s="5">
        <f>700</f>
        <v>700</v>
      </c>
      <c r="P127" s="5">
        <f t="shared" si="96"/>
        <v>-473.13</v>
      </c>
      <c r="Q127" s="6">
        <f t="shared" si="97"/>
        <v>0.3241</v>
      </c>
      <c r="R127" s="4"/>
      <c r="S127" s="4"/>
      <c r="T127" s="5">
        <f t="shared" si="98"/>
        <v>0</v>
      </c>
      <c r="U127" s="6" t="str">
        <f t="shared" si="99"/>
        <v/>
      </c>
      <c r="V127" s="4"/>
      <c r="W127" s="4"/>
      <c r="X127" s="5">
        <f t="shared" si="100"/>
        <v>0</v>
      </c>
      <c r="Y127" s="6" t="str">
        <f t="shared" si="101"/>
        <v/>
      </c>
      <c r="Z127" s="5">
        <f>226.87</f>
        <v>226.87</v>
      </c>
      <c r="AA127" s="5">
        <f>700</f>
        <v>700</v>
      </c>
      <c r="AB127" s="5">
        <f t="shared" si="102"/>
        <v>-473.13</v>
      </c>
      <c r="AC127" s="6">
        <f t="shared" si="103"/>
        <v>0.3241</v>
      </c>
      <c r="AD127" s="5">
        <f t="shared" si="104"/>
        <v>680.66</v>
      </c>
      <c r="AE127" s="5">
        <f t="shared" si="105"/>
        <v>2700</v>
      </c>
      <c r="AF127" s="5">
        <f t="shared" si="106"/>
        <v>-2019.3400000000001</v>
      </c>
      <c r="AG127" s="6">
        <f t="shared" si="107"/>
        <v>0.25209629629629626</v>
      </c>
    </row>
    <row r="128" spans="1:33" x14ac:dyDescent="0.25">
      <c r="A128" s="3" t="s">
        <v>132</v>
      </c>
      <c r="B128" s="5">
        <f>1366.76</f>
        <v>1366.76</v>
      </c>
      <c r="C128" s="5">
        <f>2000</f>
        <v>2000</v>
      </c>
      <c r="D128" s="5">
        <f t="shared" si="90"/>
        <v>-633.24</v>
      </c>
      <c r="E128" s="6">
        <f t="shared" si="91"/>
        <v>0.68337999999999999</v>
      </c>
      <c r="F128" s="4"/>
      <c r="G128" s="5">
        <v>0</v>
      </c>
      <c r="H128" s="5">
        <f t="shared" si="92"/>
        <v>0</v>
      </c>
      <c r="I128" s="6" t="str">
        <f t="shared" si="93"/>
        <v/>
      </c>
      <c r="J128" s="4"/>
      <c r="K128" s="4"/>
      <c r="L128" s="5">
        <f t="shared" si="94"/>
        <v>0</v>
      </c>
      <c r="M128" s="6" t="str">
        <f t="shared" si="95"/>
        <v/>
      </c>
      <c r="N128" s="5">
        <f>576.92</f>
        <v>576.91999999999996</v>
      </c>
      <c r="O128" s="5">
        <v>1100</v>
      </c>
      <c r="P128" s="5">
        <f t="shared" si="96"/>
        <v>-523.08000000000004</v>
      </c>
      <c r="Q128" s="6">
        <f t="shared" si="97"/>
        <v>0.5244727272727272</v>
      </c>
      <c r="R128" s="4"/>
      <c r="S128" s="4"/>
      <c r="T128" s="5">
        <f t="shared" si="98"/>
        <v>0</v>
      </c>
      <c r="U128" s="6" t="str">
        <f t="shared" si="99"/>
        <v/>
      </c>
      <c r="V128" s="4"/>
      <c r="W128" s="4"/>
      <c r="X128" s="5">
        <f t="shared" si="100"/>
        <v>0</v>
      </c>
      <c r="Y128" s="6" t="str">
        <f t="shared" si="101"/>
        <v/>
      </c>
      <c r="Z128" s="5">
        <f>1137.04</f>
        <v>1137.04</v>
      </c>
      <c r="AA128" s="5">
        <f>1000</f>
        <v>1000</v>
      </c>
      <c r="AB128" s="5">
        <f t="shared" si="102"/>
        <v>137.03999999999996</v>
      </c>
      <c r="AC128" s="6">
        <f t="shared" si="103"/>
        <v>1.1370400000000001</v>
      </c>
      <c r="AD128" s="5">
        <f t="shared" si="104"/>
        <v>3080.72</v>
      </c>
      <c r="AE128" s="5">
        <f t="shared" si="105"/>
        <v>4100</v>
      </c>
      <c r="AF128" s="5">
        <f t="shared" si="106"/>
        <v>-1019.2800000000002</v>
      </c>
      <c r="AG128" s="6">
        <f t="shared" si="107"/>
        <v>0.75139512195121949</v>
      </c>
    </row>
    <row r="129" spans="1:33" x14ac:dyDescent="0.25">
      <c r="A129" s="3" t="s">
        <v>133</v>
      </c>
      <c r="B129" s="5">
        <f>1313.79</f>
        <v>1313.79</v>
      </c>
      <c r="C129" s="5">
        <f>1000</f>
        <v>1000</v>
      </c>
      <c r="D129" s="5">
        <f t="shared" si="90"/>
        <v>313.78999999999996</v>
      </c>
      <c r="E129" s="6">
        <f t="shared" si="91"/>
        <v>1.31379</v>
      </c>
      <c r="F129" s="4"/>
      <c r="G129" s="4"/>
      <c r="H129" s="5">
        <f t="shared" si="92"/>
        <v>0</v>
      </c>
      <c r="I129" s="6" t="str">
        <f t="shared" si="93"/>
        <v/>
      </c>
      <c r="J129" s="4"/>
      <c r="K129" s="4"/>
      <c r="L129" s="5">
        <f t="shared" si="94"/>
        <v>0</v>
      </c>
      <c r="M129" s="6" t="str">
        <f t="shared" si="95"/>
        <v/>
      </c>
      <c r="N129" s="4"/>
      <c r="O129" s="5">
        <v>1000</v>
      </c>
      <c r="P129" s="5">
        <f t="shared" si="96"/>
        <v>-1000</v>
      </c>
      <c r="Q129" s="6">
        <f t="shared" si="97"/>
        <v>0</v>
      </c>
      <c r="R129" s="4"/>
      <c r="S129" s="4"/>
      <c r="T129" s="5">
        <f t="shared" si="98"/>
        <v>0</v>
      </c>
      <c r="U129" s="6" t="str">
        <f t="shared" si="99"/>
        <v/>
      </c>
      <c r="V129" s="4"/>
      <c r="W129" s="4"/>
      <c r="X129" s="5">
        <f t="shared" si="100"/>
        <v>0</v>
      </c>
      <c r="Y129" s="6" t="str">
        <f t="shared" si="101"/>
        <v/>
      </c>
      <c r="Z129" s="4"/>
      <c r="AA129" s="4">
        <v>1000</v>
      </c>
      <c r="AB129" s="5">
        <f t="shared" si="102"/>
        <v>-1000</v>
      </c>
      <c r="AC129" s="6">
        <f t="shared" si="103"/>
        <v>0</v>
      </c>
      <c r="AD129" s="5">
        <f t="shared" si="104"/>
        <v>1313.79</v>
      </c>
      <c r="AE129" s="5">
        <f t="shared" si="105"/>
        <v>3000</v>
      </c>
      <c r="AF129" s="5">
        <f t="shared" si="106"/>
        <v>-1686.21</v>
      </c>
      <c r="AG129" s="6">
        <f t="shared" si="107"/>
        <v>0.43792999999999999</v>
      </c>
    </row>
    <row r="130" spans="1:33" s="15" customFormat="1" x14ac:dyDescent="0.25">
      <c r="A130" s="11" t="s">
        <v>134</v>
      </c>
      <c r="B130" s="12"/>
      <c r="C130" s="12"/>
      <c r="D130" s="13">
        <f t="shared" si="90"/>
        <v>0</v>
      </c>
      <c r="E130" s="14" t="str">
        <f t="shared" si="91"/>
        <v/>
      </c>
      <c r="F130" s="12"/>
      <c r="G130" s="12"/>
      <c r="H130" s="13">
        <f t="shared" si="92"/>
        <v>0</v>
      </c>
      <c r="I130" s="14" t="str">
        <f t="shared" si="93"/>
        <v/>
      </c>
      <c r="J130" s="12"/>
      <c r="K130" s="12"/>
      <c r="L130" s="13">
        <f t="shared" si="94"/>
        <v>0</v>
      </c>
      <c r="M130" s="14" t="str">
        <f t="shared" si="95"/>
        <v/>
      </c>
      <c r="N130" s="12"/>
      <c r="O130" s="12"/>
      <c r="P130" s="13">
        <f t="shared" si="96"/>
        <v>0</v>
      </c>
      <c r="Q130" s="14" t="str">
        <f t="shared" si="97"/>
        <v/>
      </c>
      <c r="R130" s="12"/>
      <c r="S130" s="12"/>
      <c r="T130" s="13">
        <f t="shared" si="98"/>
        <v>0</v>
      </c>
      <c r="U130" s="14" t="str">
        <f t="shared" si="99"/>
        <v/>
      </c>
      <c r="V130" s="12"/>
      <c r="W130" s="12"/>
      <c r="X130" s="13">
        <f t="shared" si="100"/>
        <v>0</v>
      </c>
      <c r="Y130" s="14" t="str">
        <f t="shared" si="101"/>
        <v/>
      </c>
      <c r="Z130" s="12"/>
      <c r="AA130" s="12"/>
      <c r="AB130" s="13">
        <f t="shared" si="102"/>
        <v>0</v>
      </c>
      <c r="AC130" s="14" t="str">
        <f t="shared" si="103"/>
        <v/>
      </c>
      <c r="AD130" s="13">
        <f t="shared" si="104"/>
        <v>0</v>
      </c>
      <c r="AE130" s="13">
        <f t="shared" si="105"/>
        <v>0</v>
      </c>
      <c r="AF130" s="13">
        <f t="shared" si="106"/>
        <v>0</v>
      </c>
      <c r="AG130" s="14" t="str">
        <f t="shared" si="107"/>
        <v/>
      </c>
    </row>
    <row r="131" spans="1:33" s="15" customFormat="1" x14ac:dyDescent="0.25">
      <c r="A131" s="11" t="s">
        <v>135</v>
      </c>
      <c r="B131" s="12"/>
      <c r="C131" s="12"/>
      <c r="D131" s="13">
        <f t="shared" si="90"/>
        <v>0</v>
      </c>
      <c r="E131" s="14" t="str">
        <f t="shared" si="91"/>
        <v/>
      </c>
      <c r="F131" s="12"/>
      <c r="G131" s="12"/>
      <c r="H131" s="13">
        <f t="shared" si="92"/>
        <v>0</v>
      </c>
      <c r="I131" s="14" t="str">
        <f t="shared" si="93"/>
        <v/>
      </c>
      <c r="J131" s="12"/>
      <c r="K131" s="12"/>
      <c r="L131" s="13">
        <f t="shared" si="94"/>
        <v>0</v>
      </c>
      <c r="M131" s="14" t="str">
        <f t="shared" si="95"/>
        <v/>
      </c>
      <c r="N131" s="13">
        <f>3468.42</f>
        <v>3468.42</v>
      </c>
      <c r="O131" s="13">
        <v>7500</v>
      </c>
      <c r="P131" s="13">
        <f t="shared" si="96"/>
        <v>-4031.58</v>
      </c>
      <c r="Q131" s="14">
        <f t="shared" si="97"/>
        <v>0.46245600000000003</v>
      </c>
      <c r="R131" s="12"/>
      <c r="S131" s="12"/>
      <c r="T131" s="13">
        <f t="shared" si="98"/>
        <v>0</v>
      </c>
      <c r="U131" s="14" t="str">
        <f t="shared" si="99"/>
        <v/>
      </c>
      <c r="V131" s="12"/>
      <c r="W131" s="12"/>
      <c r="X131" s="13">
        <f t="shared" si="100"/>
        <v>0</v>
      </c>
      <c r="Y131" s="14" t="str">
        <f t="shared" si="101"/>
        <v/>
      </c>
      <c r="Z131" s="13">
        <f>3518.42</f>
        <v>3518.42</v>
      </c>
      <c r="AA131" s="13">
        <v>7500</v>
      </c>
      <c r="AB131" s="13">
        <f t="shared" si="102"/>
        <v>-3981.58</v>
      </c>
      <c r="AC131" s="14">
        <f t="shared" si="103"/>
        <v>0.46912266666666669</v>
      </c>
      <c r="AD131" s="13">
        <f t="shared" si="104"/>
        <v>6986.84</v>
      </c>
      <c r="AE131" s="13">
        <f t="shared" si="105"/>
        <v>15000</v>
      </c>
      <c r="AF131" s="13">
        <f t="shared" si="106"/>
        <v>-8013.16</v>
      </c>
      <c r="AG131" s="14">
        <f t="shared" si="107"/>
        <v>0.46578933333333333</v>
      </c>
    </row>
    <row r="132" spans="1:33" s="15" customFormat="1" x14ac:dyDescent="0.25">
      <c r="A132" s="11" t="s">
        <v>136</v>
      </c>
      <c r="B132" s="12"/>
      <c r="C132" s="12"/>
      <c r="D132" s="13">
        <f t="shared" si="90"/>
        <v>0</v>
      </c>
      <c r="E132" s="14" t="str">
        <f t="shared" si="91"/>
        <v/>
      </c>
      <c r="F132" s="12"/>
      <c r="G132" s="12"/>
      <c r="H132" s="13">
        <f t="shared" si="92"/>
        <v>0</v>
      </c>
      <c r="I132" s="14" t="str">
        <f t="shared" si="93"/>
        <v/>
      </c>
      <c r="J132" s="12"/>
      <c r="K132" s="12"/>
      <c r="L132" s="13">
        <f t="shared" si="94"/>
        <v>0</v>
      </c>
      <c r="M132" s="14" t="str">
        <f t="shared" si="95"/>
        <v/>
      </c>
      <c r="N132" s="13">
        <f>962.27</f>
        <v>962.27</v>
      </c>
      <c r="O132" s="13">
        <v>5000</v>
      </c>
      <c r="P132" s="13">
        <f t="shared" si="96"/>
        <v>-4037.73</v>
      </c>
      <c r="Q132" s="14">
        <f t="shared" si="97"/>
        <v>0.19245399999999999</v>
      </c>
      <c r="R132" s="12"/>
      <c r="S132" s="12"/>
      <c r="T132" s="13">
        <f t="shared" si="98"/>
        <v>0</v>
      </c>
      <c r="U132" s="14" t="str">
        <f t="shared" si="99"/>
        <v/>
      </c>
      <c r="V132" s="12"/>
      <c r="W132" s="12"/>
      <c r="X132" s="13">
        <f t="shared" si="100"/>
        <v>0</v>
      </c>
      <c r="Y132" s="14" t="str">
        <f t="shared" si="101"/>
        <v/>
      </c>
      <c r="Z132" s="13">
        <f>3644.22</f>
        <v>3644.22</v>
      </c>
      <c r="AA132" s="13">
        <v>5000</v>
      </c>
      <c r="AB132" s="13">
        <f t="shared" si="102"/>
        <v>-1355.7800000000002</v>
      </c>
      <c r="AC132" s="14">
        <f t="shared" si="103"/>
        <v>0.72884399999999994</v>
      </c>
      <c r="AD132" s="13">
        <f t="shared" si="104"/>
        <v>4606.49</v>
      </c>
      <c r="AE132" s="13">
        <f t="shared" si="105"/>
        <v>10000</v>
      </c>
      <c r="AF132" s="13">
        <f t="shared" si="106"/>
        <v>-5393.51</v>
      </c>
      <c r="AG132" s="14">
        <f t="shared" si="107"/>
        <v>0.46064899999999998</v>
      </c>
    </row>
    <row r="133" spans="1:33" s="15" customFormat="1" x14ac:dyDescent="0.25">
      <c r="A133" s="11" t="s">
        <v>137</v>
      </c>
      <c r="B133" s="13">
        <f>1429.43</f>
        <v>1429.43</v>
      </c>
      <c r="C133" s="13">
        <v>2300</v>
      </c>
      <c r="D133" s="13">
        <f t="shared" si="90"/>
        <v>-870.56999999999994</v>
      </c>
      <c r="E133" s="14">
        <f t="shared" si="91"/>
        <v>0.62149130434782607</v>
      </c>
      <c r="F133" s="12"/>
      <c r="G133" s="12"/>
      <c r="H133" s="13">
        <f t="shared" si="92"/>
        <v>0</v>
      </c>
      <c r="I133" s="14" t="str">
        <f t="shared" si="93"/>
        <v/>
      </c>
      <c r="J133" s="12"/>
      <c r="K133" s="12"/>
      <c r="L133" s="13">
        <f t="shared" si="94"/>
        <v>0</v>
      </c>
      <c r="M133" s="14" t="str">
        <f t="shared" si="95"/>
        <v/>
      </c>
      <c r="N133" s="12"/>
      <c r="O133" s="12"/>
      <c r="P133" s="13">
        <f t="shared" si="96"/>
        <v>0</v>
      </c>
      <c r="Q133" s="14" t="str">
        <f t="shared" si="97"/>
        <v/>
      </c>
      <c r="R133" s="12"/>
      <c r="S133" s="12"/>
      <c r="T133" s="13">
        <f t="shared" si="98"/>
        <v>0</v>
      </c>
      <c r="U133" s="14" t="str">
        <f t="shared" si="99"/>
        <v/>
      </c>
      <c r="V133" s="12"/>
      <c r="W133" s="12"/>
      <c r="X133" s="13">
        <f t="shared" si="100"/>
        <v>0</v>
      </c>
      <c r="Y133" s="14" t="str">
        <f t="shared" si="101"/>
        <v/>
      </c>
      <c r="Z133" s="13">
        <f>391.31</f>
        <v>391.31</v>
      </c>
      <c r="AA133" s="13">
        <f>500</f>
        <v>500</v>
      </c>
      <c r="AB133" s="13">
        <f t="shared" si="102"/>
        <v>-108.69</v>
      </c>
      <c r="AC133" s="14">
        <f t="shared" si="103"/>
        <v>0.78261999999999998</v>
      </c>
      <c r="AD133" s="13">
        <f t="shared" si="104"/>
        <v>1820.74</v>
      </c>
      <c r="AE133" s="13">
        <f t="shared" si="105"/>
        <v>2800</v>
      </c>
      <c r="AF133" s="13">
        <f t="shared" si="106"/>
        <v>-979.26</v>
      </c>
      <c r="AG133" s="14">
        <f t="shared" si="107"/>
        <v>0.65026428571428574</v>
      </c>
    </row>
    <row r="134" spans="1:33" x14ac:dyDescent="0.25">
      <c r="A134" s="3" t="s">
        <v>138</v>
      </c>
      <c r="B134" s="7">
        <f>(((B130)+(B131))+(B132))+(B133)</f>
        <v>1429.43</v>
      </c>
      <c r="C134" s="7">
        <f>(((C130)+(C131))+(C132))+(C133)</f>
        <v>2300</v>
      </c>
      <c r="D134" s="7">
        <f t="shared" si="90"/>
        <v>-870.56999999999994</v>
      </c>
      <c r="E134" s="8">
        <f t="shared" si="91"/>
        <v>0.62149130434782607</v>
      </c>
      <c r="F134" s="7">
        <f>(((F130)+(F131))+(F132))+(F133)</f>
        <v>0</v>
      </c>
      <c r="G134" s="7">
        <f>(((G130)+(G131))+(G132))+(G133)</f>
        <v>0</v>
      </c>
      <c r="H134" s="7">
        <f t="shared" si="92"/>
        <v>0</v>
      </c>
      <c r="I134" s="8" t="str">
        <f t="shared" si="93"/>
        <v/>
      </c>
      <c r="J134" s="7">
        <f>(((J130)+(J131))+(J132))+(J133)</f>
        <v>0</v>
      </c>
      <c r="K134" s="7">
        <f>(((K130)+(K131))+(K132))+(K133)</f>
        <v>0</v>
      </c>
      <c r="L134" s="7">
        <f t="shared" si="94"/>
        <v>0</v>
      </c>
      <c r="M134" s="8" t="str">
        <f t="shared" si="95"/>
        <v/>
      </c>
      <c r="N134" s="7">
        <f>(((N130)+(N131))+(N132))+(N133)</f>
        <v>4430.6900000000005</v>
      </c>
      <c r="O134" s="7">
        <f>(((O130)+(O131))+(O132))+(O133)</f>
        <v>12500</v>
      </c>
      <c r="P134" s="7">
        <f t="shared" si="96"/>
        <v>-8069.3099999999995</v>
      </c>
      <c r="Q134" s="8">
        <f t="shared" si="97"/>
        <v>0.35445520000000003</v>
      </c>
      <c r="R134" s="7">
        <f>(((R130)+(R131))+(R132))+(R133)</f>
        <v>0</v>
      </c>
      <c r="S134" s="7">
        <f>(((S130)+(S131))+(S132))+(S133)</f>
        <v>0</v>
      </c>
      <c r="T134" s="7">
        <f t="shared" si="98"/>
        <v>0</v>
      </c>
      <c r="U134" s="8" t="str">
        <f t="shared" si="99"/>
        <v/>
      </c>
      <c r="V134" s="7">
        <f>(((V130)+(V131))+(V132))+(V133)</f>
        <v>0</v>
      </c>
      <c r="W134" s="7">
        <f>(((W130)+(W131))+(W132))+(W133)</f>
        <v>0</v>
      </c>
      <c r="X134" s="7">
        <f t="shared" si="100"/>
        <v>0</v>
      </c>
      <c r="Y134" s="8" t="str">
        <f t="shared" si="101"/>
        <v/>
      </c>
      <c r="Z134" s="7">
        <f>(((Z130)+(Z131))+(Z132))+(Z133)</f>
        <v>7553.95</v>
      </c>
      <c r="AA134" s="7">
        <f>(((AA130)+(AA131))+(AA132))+(AA133)</f>
        <v>13000</v>
      </c>
      <c r="AB134" s="7">
        <f t="shared" si="102"/>
        <v>-5446.05</v>
      </c>
      <c r="AC134" s="8">
        <f t="shared" si="103"/>
        <v>0.58107307692307686</v>
      </c>
      <c r="AD134" s="7">
        <f t="shared" si="104"/>
        <v>13414.07</v>
      </c>
      <c r="AE134" s="7">
        <f t="shared" si="105"/>
        <v>27800</v>
      </c>
      <c r="AF134" s="7">
        <f t="shared" si="106"/>
        <v>-14385.93</v>
      </c>
      <c r="AG134" s="8">
        <f t="shared" si="107"/>
        <v>0.48252050359712229</v>
      </c>
    </row>
    <row r="135" spans="1:33" x14ac:dyDescent="0.25">
      <c r="A135" s="3" t="s">
        <v>139</v>
      </c>
      <c r="B135" s="5">
        <f>47.97</f>
        <v>47.97</v>
      </c>
      <c r="C135" s="4"/>
      <c r="D135" s="5">
        <f t="shared" si="90"/>
        <v>47.97</v>
      </c>
      <c r="E135" s="6" t="str">
        <f t="shared" si="91"/>
        <v/>
      </c>
      <c r="F135" s="4"/>
      <c r="G135" s="4"/>
      <c r="H135" s="5">
        <f t="shared" si="92"/>
        <v>0</v>
      </c>
      <c r="I135" s="6" t="str">
        <f t="shared" si="93"/>
        <v/>
      </c>
      <c r="J135" s="4"/>
      <c r="K135" s="4"/>
      <c r="L135" s="5">
        <f t="shared" si="94"/>
        <v>0</v>
      </c>
      <c r="M135" s="6" t="str">
        <f t="shared" si="95"/>
        <v/>
      </c>
      <c r="N135" s="4"/>
      <c r="O135" s="4"/>
      <c r="P135" s="5">
        <f t="shared" si="96"/>
        <v>0</v>
      </c>
      <c r="Q135" s="6" t="str">
        <f t="shared" si="97"/>
        <v/>
      </c>
      <c r="R135" s="4"/>
      <c r="S135" s="4"/>
      <c r="T135" s="5">
        <f t="shared" si="98"/>
        <v>0</v>
      </c>
      <c r="U135" s="6" t="str">
        <f t="shared" si="99"/>
        <v/>
      </c>
      <c r="V135" s="4"/>
      <c r="W135" s="4"/>
      <c r="X135" s="5">
        <f t="shared" si="100"/>
        <v>0</v>
      </c>
      <c r="Y135" s="6" t="str">
        <f t="shared" si="101"/>
        <v/>
      </c>
      <c r="Z135" s="4"/>
      <c r="AA135" s="4"/>
      <c r="AB135" s="5">
        <f t="shared" si="102"/>
        <v>0</v>
      </c>
      <c r="AC135" s="6" t="str">
        <f t="shared" si="103"/>
        <v/>
      </c>
      <c r="AD135" s="5">
        <f t="shared" si="104"/>
        <v>47.97</v>
      </c>
      <c r="AE135" s="5">
        <f t="shared" si="105"/>
        <v>0</v>
      </c>
      <c r="AF135" s="5">
        <f t="shared" si="106"/>
        <v>47.97</v>
      </c>
      <c r="AG135" s="6" t="str">
        <f t="shared" si="107"/>
        <v/>
      </c>
    </row>
    <row r="136" spans="1:33" x14ac:dyDescent="0.25">
      <c r="A136" s="3" t="s">
        <v>140</v>
      </c>
      <c r="B136" s="7">
        <f>(((((((((((((((((((((((((((((((B67)+(B68))+(B69))+(B70))+(B71))+(B72))+(B73))+(B81))+(B82))+(B83))+(B84))+(B92))+(B93))+(B98))+(B106))+(B107))+(B108))+(B109))+(B110))+(B111))+(B112))+(B115))+(B122))+(B123))+(B124))+(B125))+(B126))+(B127))+(B128))+(B129))+(B134))+(B135)</f>
        <v>212133.74000000002</v>
      </c>
      <c r="C136" s="7">
        <f>(((((((((((((((((((((((((((((((C67)+(C68))+(C69))+(C70))+(C71))+(C72))+(C73))+(C81))+(C82))+(C83))+(C84))+(C92))+(C93))+(C98))+(C106))+(C107))+(C108))+(C109))+(C110))+(C111))+(C112))+(C115))+(C122))+(C123))+(C124))+(C125))+(C126))+(C127))+(C128))+(C129))+(C134))+(C135)</f>
        <v>338266.66000000003</v>
      </c>
      <c r="D136" s="7">
        <f t="shared" si="90"/>
        <v>-126132.92000000001</v>
      </c>
      <c r="E136" s="8">
        <f t="shared" si="91"/>
        <v>0.62711985863460507</v>
      </c>
      <c r="F136" s="7">
        <f>(((((((((((((((((((((((((((((((F67)+(F68))+(F69))+(F70))+(F71))+(F72))+(F73))+(F81))+(F82))+(F83))+(F84))+(F92))+(F93))+(F98))+(F106))+(F107))+(F108))+(F109))+(F110))+(F111))+(F112))+(F115))+(F122))+(F123))+(F124))+(F125))+(F126))+(F127))+(F128))+(F129))+(F134))+(F135)</f>
        <v>2323.3700000000003</v>
      </c>
      <c r="G136" s="7">
        <f>(((((((((((((((((((((((((((((((G67)+(G68))+(G69))+(G70))+(G71))+(G72))+(G73))+(G81))+(G82))+(G83))+(G84))+(G92))+(G93))+(G98))+(G106))+(G107))+(G108))+(G109))+(G110))+(G111))+(G112))+(G115))+(G122))+(G123))+(G124))+(G125))+(G126))+(G127))+(G128))+(G129))+(G134))+(G135)</f>
        <v>5290</v>
      </c>
      <c r="H136" s="7">
        <f t="shared" si="92"/>
        <v>-2966.6299999999997</v>
      </c>
      <c r="I136" s="8">
        <f t="shared" si="93"/>
        <v>0.43920037807183371</v>
      </c>
      <c r="J136" s="7">
        <f>(((((((((((((((((((((((((((((((J67)+(J68))+(J69))+(J70))+(J71))+(J72))+(J73))+(J81))+(J82))+(J83))+(J84))+(J92))+(J93))+(J98))+(J106))+(J107))+(J108))+(J109))+(J110))+(J111))+(J112))+(J115))+(J122))+(J123))+(J124))+(J125))+(J126))+(J127))+(J128))+(J129))+(J134))+(J135)</f>
        <v>0</v>
      </c>
      <c r="K136" s="7">
        <f>(((((((((((((((((((((((((((((((K67)+(K68))+(K69))+(K70))+(K71))+(K72))+(K73))+(K81))+(K82))+(K83))+(K84))+(K92))+(K93))+(K98))+(K106))+(K107))+(K108))+(K109))+(K110))+(K111))+(K112))+(K115))+(K122))+(K123))+(K124))+(K125))+(K126))+(K127))+(K128))+(K129))+(K134))+(K135)</f>
        <v>0</v>
      </c>
      <c r="L136" s="7">
        <f t="shared" si="94"/>
        <v>0</v>
      </c>
      <c r="M136" s="8" t="str">
        <f t="shared" si="95"/>
        <v/>
      </c>
      <c r="N136" s="7">
        <f>(((((((((((((((((((((((((((((((N67)+(N68))+(N69))+(N70))+(N71))+(N72))+(N73))+(N81))+(N82))+(N83))+(N84))+(N92))+(N93))+(N98))+(N106))+(N107))+(N108))+(N109))+(N110))+(N111))+(N112))+(N115))+(N122))+(N123))+(N124))+(N125))+(N126))+(N127))+(N128))+(N129))+(N134))+(N135)</f>
        <v>92756.7</v>
      </c>
      <c r="O136" s="7">
        <f>(((((((((((((((((((((((((((((((O67)+(O68))+(O69))+(O70))+(O71))+(O72))+(O73))+(O81))+(O82))+(O83))+(O84))+(O92))+(O93))+(O98))+(O106))+(O107))+(O108))+(O109))+(O110))+(O111))+(O112))+(O115))+(O122))+(O123))+(O124))+(O125))+(O126))+(O127))+(O128))+(O129))+(O134))+(O135)</f>
        <v>225716.68</v>
      </c>
      <c r="P136" s="7">
        <f t="shared" si="96"/>
        <v>-132959.97999999998</v>
      </c>
      <c r="Q136" s="8">
        <f t="shared" si="97"/>
        <v>0.41094304594591768</v>
      </c>
      <c r="R136" s="7">
        <f>(((((((((((((((((((((((((((((((R67)+(R68))+(R69))+(R70))+(R71))+(R72))+(R73))+(R81))+(R82))+(R83))+(R84))+(R92))+(R93))+(R98))+(R106))+(R107))+(R108))+(R109))+(R110))+(R111))+(R112))+(R115))+(R122))+(R123))+(R124))+(R125))+(R126))+(R127))+(R128))+(R129))+(R134))+(R135)</f>
        <v>3798.94</v>
      </c>
      <c r="S136" s="7">
        <f>(((((((((((((((((((((((((((((((S67)+(S68))+(S69))+(S70))+(S71))+(S72))+(S73))+(S81))+(S82))+(S83))+(S84))+(S92))+(S93))+(S98))+(S106))+(S107))+(S108))+(S109))+(S110))+(S111))+(S112))+(S115))+(S122))+(S123))+(S124))+(S125))+(S126))+(S127))+(S128))+(S129))+(S134))+(S135)</f>
        <v>11875</v>
      </c>
      <c r="T136" s="7">
        <f t="shared" si="98"/>
        <v>-8076.0599999999995</v>
      </c>
      <c r="U136" s="8">
        <f t="shared" si="99"/>
        <v>0.31991073684210525</v>
      </c>
      <c r="V136" s="7">
        <f>(((((((((((((((((((((((((((((((V67)+(V68))+(V69))+(V70))+(V71))+(V72))+(V73))+(V81))+(V82))+(V83))+(V84))+(V92))+(V93))+(V98))+(V106))+(V107))+(V108))+(V109))+(V110))+(V111))+(V112))+(V115))+(V122))+(V123))+(V124))+(V125))+(V126))+(V127))+(V128))+(V129))+(V134))+(V135)</f>
        <v>24475.57</v>
      </c>
      <c r="W136" s="7">
        <f>(((((((((((((((((((((((((((((((W67)+(W68))+(W69))+(W70))+(W71))+(W72))+(W73))+(W81))+(W82))+(W83))+(W84))+(W92))+(W93))+(W98))+(W106))+(W107))+(W108))+(W109))+(W110))+(W111))+(W112))+(W115))+(W122))+(W123))+(W124))+(W125))+(W126))+(W127))+(W128))+(W129))+(W134))+(W135)</f>
        <v>72000</v>
      </c>
      <c r="X136" s="7">
        <f t="shared" si="100"/>
        <v>-47524.43</v>
      </c>
      <c r="Y136" s="8">
        <f t="shared" si="101"/>
        <v>0.33993847222222223</v>
      </c>
      <c r="Z136" s="7">
        <f>(((((((((((((((((((((((((((((((Z67)+(Z68))+(Z69))+(Z70))+(Z71))+(Z72))+(Z73))+(Z81))+(Z82))+(Z83))+(Z84))+(Z92))+(Z93))+(Z98))+(Z106))+(Z107))+(Z108))+(Z109))+(Z110))+(Z111))+(Z112))+(Z115))+(Z122))+(Z123))+(Z124))+(Z125))+(Z126))+(Z127))+(Z128))+(Z129))+(Z134))+(Z135)</f>
        <v>196019.53000000003</v>
      </c>
      <c r="AA136" s="7">
        <f>(((((((((((((((((((((((((((((((AA67)+(AA68))+(AA69))+(AA70))+(AA71))+(AA72))+(AA73))+(AA81))+(AA82))+(AA83))+(AA84))+(AA92))+(AA93))+(AA98))+(AA106))+(AA107))+(AA108))+(AA109))+(AA110))+(AA111))+(AA112))+(AA115))+(AA122))+(AA123))+(AA124))+(AA125))+(AA126))+(AA127))+(AA128))+(AA129))+(AA134))+(AA135)</f>
        <v>255591.67999999999</v>
      </c>
      <c r="AB136" s="7">
        <f t="shared" si="102"/>
        <v>-59572.149999999965</v>
      </c>
      <c r="AC136" s="8">
        <f t="shared" si="103"/>
        <v>0.76692453369374169</v>
      </c>
      <c r="AD136" s="7">
        <f t="shared" si="104"/>
        <v>531507.85000000009</v>
      </c>
      <c r="AE136" s="7">
        <f t="shared" si="105"/>
        <v>908740.02</v>
      </c>
      <c r="AF136" s="7">
        <f t="shared" si="106"/>
        <v>-377232.16999999993</v>
      </c>
      <c r="AG136" s="8">
        <f t="shared" si="107"/>
        <v>0.58488438750612093</v>
      </c>
    </row>
    <row r="137" spans="1:33" x14ac:dyDescent="0.25">
      <c r="A137" s="3" t="s">
        <v>141</v>
      </c>
      <c r="B137" s="7">
        <f>(B60)-(B136)</f>
        <v>264353.31999999995</v>
      </c>
      <c r="C137" s="7">
        <f>(C60)-(C136)</f>
        <v>114164.33999999997</v>
      </c>
      <c r="D137" s="7">
        <f t="shared" si="90"/>
        <v>150188.97999999998</v>
      </c>
      <c r="E137" s="8">
        <f t="shared" si="91"/>
        <v>2.3155507227563357</v>
      </c>
      <c r="F137" s="7">
        <f>(F60)-(F136)</f>
        <v>-1616.3700000000003</v>
      </c>
      <c r="G137" s="7">
        <f>(G60)-(G136)</f>
        <v>-3190</v>
      </c>
      <c r="H137" s="7">
        <f t="shared" si="92"/>
        <v>1573.6299999999997</v>
      </c>
      <c r="I137" s="8">
        <f t="shared" si="93"/>
        <v>0.5066990595611286</v>
      </c>
      <c r="J137" s="7">
        <f>(J60)-(J136)</f>
        <v>30835.300000000003</v>
      </c>
      <c r="K137" s="7">
        <f>(K60)-(K136)</f>
        <v>25200</v>
      </c>
      <c r="L137" s="7">
        <f t="shared" si="94"/>
        <v>5635.3000000000029</v>
      </c>
      <c r="M137" s="8">
        <f t="shared" si="95"/>
        <v>1.2236230158730159</v>
      </c>
      <c r="N137" s="7">
        <f>(N60)-(N136)</f>
        <v>157873.78999999998</v>
      </c>
      <c r="O137" s="7">
        <f>(O60)-(O136)</f>
        <v>-44166.679999999993</v>
      </c>
      <c r="P137" s="7">
        <f t="shared" si="96"/>
        <v>202040.46999999997</v>
      </c>
      <c r="Q137" s="8">
        <f t="shared" si="97"/>
        <v>-3.5744998265660901</v>
      </c>
      <c r="R137" s="7">
        <f>(R60)-(R136)</f>
        <v>-448.94000000000005</v>
      </c>
      <c r="S137" s="7">
        <f>(S60)-(S136)</f>
        <v>-8875</v>
      </c>
      <c r="T137" s="7">
        <f t="shared" si="98"/>
        <v>8426.06</v>
      </c>
      <c r="U137" s="8">
        <f t="shared" si="99"/>
        <v>5.0584788732394373E-2</v>
      </c>
      <c r="V137" s="7">
        <f>(V60)-(V136)</f>
        <v>-24732.46</v>
      </c>
      <c r="W137" s="7">
        <f>(W60)-(W136)</f>
        <v>-75000</v>
      </c>
      <c r="X137" s="7">
        <f t="shared" si="100"/>
        <v>50267.54</v>
      </c>
      <c r="Y137" s="8">
        <f t="shared" si="101"/>
        <v>0.32976613333333332</v>
      </c>
      <c r="Z137" s="7">
        <f>(Z60)-(Z136)</f>
        <v>68575.299999999988</v>
      </c>
      <c r="AA137" s="7">
        <f>(AA60)-(AA136)</f>
        <v>-52891.679999999993</v>
      </c>
      <c r="AB137" s="7">
        <f t="shared" si="102"/>
        <v>121466.97999999998</v>
      </c>
      <c r="AC137" s="8">
        <f t="shared" si="103"/>
        <v>-1.2965233851524474</v>
      </c>
      <c r="AD137" s="7">
        <f t="shared" si="104"/>
        <v>494839.93999999989</v>
      </c>
      <c r="AE137" s="7">
        <f t="shared" si="105"/>
        <v>-44759.020000000019</v>
      </c>
      <c r="AF137" s="7">
        <f t="shared" si="106"/>
        <v>539598.96</v>
      </c>
      <c r="AG137" s="8">
        <f t="shared" si="107"/>
        <v>-11.055647330973727</v>
      </c>
    </row>
    <row r="138" spans="1:33" x14ac:dyDescent="0.25">
      <c r="A138" s="3" t="s">
        <v>142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s="15" customFormat="1" x14ac:dyDescent="0.25">
      <c r="A139" s="11" t="s">
        <v>143</v>
      </c>
      <c r="B139" s="13">
        <f>775.81</f>
        <v>775.81</v>
      </c>
      <c r="C139" s="13">
        <f>1000</f>
        <v>1000</v>
      </c>
      <c r="D139" s="13">
        <f>(B139)-(C139)</f>
        <v>-224.19000000000005</v>
      </c>
      <c r="E139" s="14">
        <f>IF(C139=0,"",(B139)/(C139))</f>
        <v>0.77581</v>
      </c>
      <c r="F139" s="12"/>
      <c r="G139" s="13">
        <f>360</f>
        <v>360</v>
      </c>
      <c r="H139" s="13">
        <f>(F139)-(G139)</f>
        <v>-360</v>
      </c>
      <c r="I139" s="14">
        <f>IF(G139=0,"",(F139)/(G139))</f>
        <v>0</v>
      </c>
      <c r="J139" s="12"/>
      <c r="K139" s="12"/>
      <c r="L139" s="13">
        <f>(J139)-(K139)</f>
        <v>0</v>
      </c>
      <c r="M139" s="14" t="str">
        <f>IF(K139=0,"",(J139)/(K139))</f>
        <v/>
      </c>
      <c r="N139" s="13">
        <f>109.61</f>
        <v>109.61</v>
      </c>
      <c r="O139" s="13">
        <f>360</f>
        <v>360</v>
      </c>
      <c r="P139" s="13">
        <f>(N139)-(O139)</f>
        <v>-250.39</v>
      </c>
      <c r="Q139" s="14">
        <f>IF(O139=0,"",(N139)/(O139))</f>
        <v>0.3044722222222222</v>
      </c>
      <c r="R139" s="12"/>
      <c r="S139" s="12"/>
      <c r="T139" s="13">
        <f>(R139)-(S139)</f>
        <v>0</v>
      </c>
      <c r="U139" s="14" t="str">
        <f>IF(S139=0,"",(R139)/(S139))</f>
        <v/>
      </c>
      <c r="V139" s="12"/>
      <c r="W139" s="12"/>
      <c r="X139" s="13">
        <f>(V139)-(W139)</f>
        <v>0</v>
      </c>
      <c r="Y139" s="14" t="str">
        <f>IF(W139=0,"",(V139)/(W139))</f>
        <v/>
      </c>
      <c r="Z139" s="13">
        <f>272.96</f>
        <v>272.95999999999998</v>
      </c>
      <c r="AA139" s="13">
        <f>360</f>
        <v>360</v>
      </c>
      <c r="AB139" s="13">
        <f>(Z139)-(AA139)</f>
        <v>-87.04000000000002</v>
      </c>
      <c r="AC139" s="14">
        <f>IF(AA139=0,"",(Z139)/(AA139))</f>
        <v>0.75822222222222213</v>
      </c>
      <c r="AD139" s="13">
        <f t="shared" ref="AD139:AE142" si="108">((((((B139)+(F139))+(J139))+(N139))+(R139))+(V139))+(Z139)</f>
        <v>1158.3799999999999</v>
      </c>
      <c r="AE139" s="13">
        <f t="shared" si="108"/>
        <v>2080</v>
      </c>
      <c r="AF139" s="13">
        <f>(AD139)-(AE139)</f>
        <v>-921.62000000000012</v>
      </c>
      <c r="AG139" s="14">
        <f>IF(AE139=0,"",(AD139)/(AE139))</f>
        <v>0.55691346153846144</v>
      </c>
    </row>
    <row r="140" spans="1:33" s="15" customFormat="1" x14ac:dyDescent="0.25">
      <c r="A140" s="11" t="s">
        <v>144</v>
      </c>
      <c r="B140" s="12"/>
      <c r="C140" s="13">
        <f>360</f>
        <v>360</v>
      </c>
      <c r="D140" s="13">
        <f>(B140)-(C140)</f>
        <v>-360</v>
      </c>
      <c r="E140" s="14">
        <f>IF(C140=0,"",(B140)/(C140))</f>
        <v>0</v>
      </c>
      <c r="F140" s="12"/>
      <c r="G140" s="12"/>
      <c r="H140" s="13">
        <f>(F140)-(G140)</f>
        <v>0</v>
      </c>
      <c r="I140" s="14" t="str">
        <f>IF(G140=0,"",(F140)/(G140))</f>
        <v/>
      </c>
      <c r="J140" s="12"/>
      <c r="K140" s="12"/>
      <c r="L140" s="13">
        <f>(J140)-(K140)</f>
        <v>0</v>
      </c>
      <c r="M140" s="14" t="str">
        <f>IF(K140=0,"",(J140)/(K140))</f>
        <v/>
      </c>
      <c r="N140" s="12"/>
      <c r="O140" s="12"/>
      <c r="P140" s="13">
        <f>(N140)-(O140)</f>
        <v>0</v>
      </c>
      <c r="Q140" s="14" t="str">
        <f>IF(O140=0,"",(N140)/(O140))</f>
        <v/>
      </c>
      <c r="R140" s="12"/>
      <c r="S140" s="12"/>
      <c r="T140" s="13">
        <f>(R140)-(S140)</f>
        <v>0</v>
      </c>
      <c r="U140" s="14" t="str">
        <f>IF(S140=0,"",(R140)/(S140))</f>
        <v/>
      </c>
      <c r="V140" s="12"/>
      <c r="W140" s="12"/>
      <c r="X140" s="13">
        <f>(V140)-(W140)</f>
        <v>0</v>
      </c>
      <c r="Y140" s="14" t="str">
        <f>IF(W140=0,"",(V140)/(W140))</f>
        <v/>
      </c>
      <c r="Z140" s="12"/>
      <c r="AA140" s="12"/>
      <c r="AB140" s="13">
        <f>(Z140)-(AA140)</f>
        <v>0</v>
      </c>
      <c r="AC140" s="14" t="str">
        <f>IF(AA140=0,"",(Z140)/(AA140))</f>
        <v/>
      </c>
      <c r="AD140" s="13">
        <f t="shared" si="108"/>
        <v>0</v>
      </c>
      <c r="AE140" s="13">
        <f t="shared" si="108"/>
        <v>360</v>
      </c>
      <c r="AF140" s="13">
        <f>(AD140)-(AE140)</f>
        <v>-360</v>
      </c>
      <c r="AG140" s="14">
        <f>IF(AE140=0,"",(AD140)/(AE140))</f>
        <v>0</v>
      </c>
    </row>
    <row r="141" spans="1:33" s="15" customFormat="1" x14ac:dyDescent="0.25">
      <c r="A141" s="11" t="s">
        <v>145</v>
      </c>
      <c r="B141" s="13">
        <f>79.34</f>
        <v>79.34</v>
      </c>
      <c r="C141" s="13">
        <f>360</f>
        <v>360</v>
      </c>
      <c r="D141" s="13">
        <f>(B141)-(C141)</f>
        <v>-280.65999999999997</v>
      </c>
      <c r="E141" s="14">
        <f>IF(C141=0,"",(B141)/(C141))</f>
        <v>0.22038888888888891</v>
      </c>
      <c r="F141" s="13">
        <f>5.4</f>
        <v>5.4</v>
      </c>
      <c r="G141" s="12"/>
      <c r="H141" s="13">
        <f>(F141)-(G141)</f>
        <v>5.4</v>
      </c>
      <c r="I141" s="14" t="str">
        <f>IF(G141=0,"",(F141)/(G141))</f>
        <v/>
      </c>
      <c r="J141" s="12"/>
      <c r="K141" s="12"/>
      <c r="L141" s="13">
        <f>(J141)-(K141)</f>
        <v>0</v>
      </c>
      <c r="M141" s="14" t="str">
        <f>IF(K141=0,"",(J141)/(K141))</f>
        <v/>
      </c>
      <c r="N141" s="13">
        <f>13.6</f>
        <v>13.6</v>
      </c>
      <c r="O141" s="12"/>
      <c r="P141" s="13">
        <f>(N141)-(O141)</f>
        <v>13.6</v>
      </c>
      <c r="Q141" s="14" t="str">
        <f>IF(O141=0,"",(N141)/(O141))</f>
        <v/>
      </c>
      <c r="R141" s="13">
        <f>1.35</f>
        <v>1.35</v>
      </c>
      <c r="S141" s="12"/>
      <c r="T141" s="13">
        <f>(R141)-(S141)</f>
        <v>1.35</v>
      </c>
      <c r="U141" s="14" t="str">
        <f>IF(S141=0,"",(R141)/(S141))</f>
        <v/>
      </c>
      <c r="V141" s="12"/>
      <c r="W141" s="12"/>
      <c r="X141" s="13">
        <f>(V141)-(W141)</f>
        <v>0</v>
      </c>
      <c r="Y141" s="14" t="str">
        <f>IF(W141=0,"",(V141)/(W141))</f>
        <v/>
      </c>
      <c r="Z141" s="13">
        <f>18.09</f>
        <v>18.09</v>
      </c>
      <c r="AA141" s="12"/>
      <c r="AB141" s="13">
        <f>(Z141)-(AA141)</f>
        <v>18.09</v>
      </c>
      <c r="AC141" s="14" t="str">
        <f>IF(AA141=0,"",(Z141)/(AA141))</f>
        <v/>
      </c>
      <c r="AD141" s="13">
        <f t="shared" si="108"/>
        <v>117.78</v>
      </c>
      <c r="AE141" s="13">
        <f t="shared" si="108"/>
        <v>360</v>
      </c>
      <c r="AF141" s="13">
        <f>(AD141)-(AE141)</f>
        <v>-242.22</v>
      </c>
      <c r="AG141" s="14">
        <f>IF(AE141=0,"",(AD141)/(AE141))</f>
        <v>0.32716666666666666</v>
      </c>
    </row>
    <row r="142" spans="1:33" x14ac:dyDescent="0.25">
      <c r="A142" s="3" t="s">
        <v>146</v>
      </c>
      <c r="B142" s="7">
        <f>((B139)+(B140))+(B141)</f>
        <v>855.15</v>
      </c>
      <c r="C142" s="7">
        <f>((C139)+(C140))+(C141)</f>
        <v>1720</v>
      </c>
      <c r="D142" s="7">
        <f>(B142)-(C142)</f>
        <v>-864.85</v>
      </c>
      <c r="E142" s="8">
        <f>IF(C142=0,"",(B142)/(C142))</f>
        <v>0.49718023255813953</v>
      </c>
      <c r="F142" s="7">
        <f>((F139)+(F140))+(F141)</f>
        <v>5.4</v>
      </c>
      <c r="G142" s="7">
        <f>((G139)+(G140))+(G141)</f>
        <v>360</v>
      </c>
      <c r="H142" s="7">
        <f>(F142)-(G142)</f>
        <v>-354.6</v>
      </c>
      <c r="I142" s="8">
        <f>IF(G142=0,"",(F142)/(G142))</f>
        <v>1.5000000000000001E-2</v>
      </c>
      <c r="J142" s="7">
        <f>((J139)+(J140))+(J141)</f>
        <v>0</v>
      </c>
      <c r="K142" s="7">
        <f>((K139)+(K140))+(K141)</f>
        <v>0</v>
      </c>
      <c r="L142" s="7">
        <f>(J142)-(K142)</f>
        <v>0</v>
      </c>
      <c r="M142" s="8" t="str">
        <f>IF(K142=0,"",(J142)/(K142))</f>
        <v/>
      </c>
      <c r="N142" s="7">
        <f>((N139)+(N140))+(N141)</f>
        <v>123.21</v>
      </c>
      <c r="O142" s="7">
        <f>((O139)+(O140))+(O141)</f>
        <v>360</v>
      </c>
      <c r="P142" s="7">
        <f>(N142)-(O142)</f>
        <v>-236.79000000000002</v>
      </c>
      <c r="Q142" s="8">
        <f>IF(O142=0,"",(N142)/(O142))</f>
        <v>0.34225</v>
      </c>
      <c r="R142" s="7">
        <f>((R139)+(R140))+(R141)</f>
        <v>1.35</v>
      </c>
      <c r="S142" s="7">
        <f>((S139)+(S140))+(S141)</f>
        <v>0</v>
      </c>
      <c r="T142" s="7">
        <f>(R142)-(S142)</f>
        <v>1.35</v>
      </c>
      <c r="U142" s="8" t="str">
        <f>IF(S142=0,"",(R142)/(S142))</f>
        <v/>
      </c>
      <c r="V142" s="7">
        <f>((V139)+(V140))+(V141)</f>
        <v>0</v>
      </c>
      <c r="W142" s="7">
        <f>((W139)+(W140))+(W141)</f>
        <v>0</v>
      </c>
      <c r="X142" s="7">
        <f>(V142)-(W142)</f>
        <v>0</v>
      </c>
      <c r="Y142" s="8" t="str">
        <f>IF(W142=0,"",(V142)/(W142))</f>
        <v/>
      </c>
      <c r="Z142" s="7">
        <f>((Z139)+(Z140))+(Z141)</f>
        <v>291.04999999999995</v>
      </c>
      <c r="AA142" s="7">
        <f>((AA139)+(AA140))+(AA141)</f>
        <v>360</v>
      </c>
      <c r="AB142" s="7">
        <f>(Z142)-(AA142)</f>
        <v>-68.950000000000045</v>
      </c>
      <c r="AC142" s="8">
        <f>IF(AA142=0,"",(Z142)/(AA142))</f>
        <v>0.80847222222222215</v>
      </c>
      <c r="AD142" s="7">
        <f t="shared" si="108"/>
        <v>1276.1599999999999</v>
      </c>
      <c r="AE142" s="7">
        <f t="shared" si="108"/>
        <v>2800</v>
      </c>
      <c r="AF142" s="7">
        <f>(AD142)-(AE142)</f>
        <v>-1523.8400000000001</v>
      </c>
      <c r="AG142" s="8">
        <f>IF(AE142=0,"",(AD142)/(AE142))</f>
        <v>0.45577142857142849</v>
      </c>
    </row>
    <row r="143" spans="1:33" x14ac:dyDescent="0.25">
      <c r="A143" s="3" t="s">
        <v>147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25">
      <c r="A144" s="3" t="s">
        <v>148</v>
      </c>
      <c r="B144" s="4"/>
      <c r="C144" s="4"/>
      <c r="D144" s="5">
        <f t="shared" ref="D144:D156" si="109">(B144)-(C144)</f>
        <v>0</v>
      </c>
      <c r="E144" s="6" t="str">
        <f t="shared" ref="E144:E156" si="110">IF(C144=0,"",(B144)/(C144))</f>
        <v/>
      </c>
      <c r="F144" s="4"/>
      <c r="G144" s="4"/>
      <c r="H144" s="5">
        <f t="shared" ref="H144:H156" si="111">(F144)-(G144)</f>
        <v>0</v>
      </c>
      <c r="I144" s="6" t="str">
        <f t="shared" ref="I144:I156" si="112">IF(G144=0,"",(F144)/(G144))</f>
        <v/>
      </c>
      <c r="J144" s="4"/>
      <c r="K144" s="4"/>
      <c r="L144" s="5">
        <f t="shared" ref="L144:L156" si="113">(J144)-(K144)</f>
        <v>0</v>
      </c>
      <c r="M144" s="6" t="str">
        <f t="shared" ref="M144:M156" si="114">IF(K144=0,"",(J144)/(K144))</f>
        <v/>
      </c>
      <c r="N144" s="4"/>
      <c r="O144" s="4"/>
      <c r="P144" s="5">
        <f t="shared" ref="P144:P156" si="115">(N144)-(O144)</f>
        <v>0</v>
      </c>
      <c r="Q144" s="6" t="str">
        <f t="shared" ref="Q144:Q156" si="116">IF(O144=0,"",(N144)/(O144))</f>
        <v/>
      </c>
      <c r="R144" s="4"/>
      <c r="S144" s="4"/>
      <c r="T144" s="5">
        <f t="shared" ref="T144:T156" si="117">(R144)-(S144)</f>
        <v>0</v>
      </c>
      <c r="U144" s="6" t="str">
        <f t="shared" ref="U144:U156" si="118">IF(S144=0,"",(R144)/(S144))</f>
        <v/>
      </c>
      <c r="V144" s="4"/>
      <c r="W144" s="4"/>
      <c r="X144" s="5">
        <f t="shared" ref="X144:X156" si="119">(V144)-(W144)</f>
        <v>0</v>
      </c>
      <c r="Y144" s="6" t="str">
        <f t="shared" ref="Y144:Y156" si="120">IF(W144=0,"",(V144)/(W144))</f>
        <v/>
      </c>
      <c r="Z144" s="4"/>
      <c r="AA144" s="4"/>
      <c r="AB144" s="5">
        <f t="shared" ref="AB144:AB156" si="121">(Z144)-(AA144)</f>
        <v>0</v>
      </c>
      <c r="AC144" s="6" t="str">
        <f t="shared" ref="AC144:AC156" si="122">IF(AA144=0,"",(Z144)/(AA144))</f>
        <v/>
      </c>
      <c r="AD144" s="5">
        <f t="shared" ref="AD144:AD156" si="123">((((((B144)+(F144))+(J144))+(N144))+(R144))+(V144))+(Z144)</f>
        <v>0</v>
      </c>
      <c r="AE144" s="5">
        <f t="shared" ref="AE144:AE156" si="124">((((((C144)+(G144))+(K144))+(O144))+(S144))+(W144))+(AA144)</f>
        <v>0</v>
      </c>
      <c r="AF144" s="5">
        <f t="shared" ref="AF144:AF156" si="125">(AD144)-(AE144)</f>
        <v>0</v>
      </c>
      <c r="AG144" s="6" t="str">
        <f t="shared" ref="AG144:AG156" si="126">IF(AE144=0,"",(AD144)/(AE144))</f>
        <v/>
      </c>
    </row>
    <row r="145" spans="1:33" x14ac:dyDescent="0.25">
      <c r="A145" s="3" t="s">
        <v>149</v>
      </c>
      <c r="B145" s="4"/>
      <c r="C145" s="4"/>
      <c r="D145" s="5">
        <f t="shared" si="109"/>
        <v>0</v>
      </c>
      <c r="E145" s="6" t="str">
        <f t="shared" si="110"/>
        <v/>
      </c>
      <c r="F145" s="4"/>
      <c r="G145" s="4"/>
      <c r="H145" s="5">
        <f t="shared" si="111"/>
        <v>0</v>
      </c>
      <c r="I145" s="6" t="str">
        <f t="shared" si="112"/>
        <v/>
      </c>
      <c r="J145" s="4"/>
      <c r="K145" s="4"/>
      <c r="L145" s="5">
        <f t="shared" si="113"/>
        <v>0</v>
      </c>
      <c r="M145" s="6" t="str">
        <f t="shared" si="114"/>
        <v/>
      </c>
      <c r="N145" s="4"/>
      <c r="O145" s="4"/>
      <c r="P145" s="5">
        <f t="shared" si="115"/>
        <v>0</v>
      </c>
      <c r="Q145" s="6" t="str">
        <f t="shared" si="116"/>
        <v/>
      </c>
      <c r="R145" s="4"/>
      <c r="S145" s="4"/>
      <c r="T145" s="5">
        <f t="shared" si="117"/>
        <v>0</v>
      </c>
      <c r="U145" s="6" t="str">
        <f t="shared" si="118"/>
        <v/>
      </c>
      <c r="V145" s="4"/>
      <c r="W145" s="4"/>
      <c r="X145" s="5">
        <f t="shared" si="119"/>
        <v>0</v>
      </c>
      <c r="Y145" s="6" t="str">
        <f t="shared" si="120"/>
        <v/>
      </c>
      <c r="Z145" s="4"/>
      <c r="AA145" s="5">
        <v>65000</v>
      </c>
      <c r="AB145" s="5">
        <f t="shared" si="121"/>
        <v>-65000</v>
      </c>
      <c r="AC145" s="6">
        <f t="shared" si="122"/>
        <v>0</v>
      </c>
      <c r="AD145" s="5">
        <f t="shared" si="123"/>
        <v>0</v>
      </c>
      <c r="AE145" s="5">
        <f t="shared" si="124"/>
        <v>65000</v>
      </c>
      <c r="AF145" s="5">
        <f t="shared" si="125"/>
        <v>-65000</v>
      </c>
      <c r="AG145" s="6">
        <f t="shared" si="126"/>
        <v>0</v>
      </c>
    </row>
    <row r="146" spans="1:33" x14ac:dyDescent="0.25">
      <c r="A146" s="3" t="s">
        <v>150</v>
      </c>
      <c r="B146" s="4"/>
      <c r="C146" s="4"/>
      <c r="D146" s="5">
        <f t="shared" si="109"/>
        <v>0</v>
      </c>
      <c r="E146" s="6" t="str">
        <f t="shared" si="110"/>
        <v/>
      </c>
      <c r="F146" s="4"/>
      <c r="G146" s="4"/>
      <c r="H146" s="5">
        <f t="shared" si="111"/>
        <v>0</v>
      </c>
      <c r="I146" s="6" t="str">
        <f t="shared" si="112"/>
        <v/>
      </c>
      <c r="J146" s="4"/>
      <c r="K146" s="4"/>
      <c r="L146" s="5">
        <f t="shared" si="113"/>
        <v>0</v>
      </c>
      <c r="M146" s="6" t="str">
        <f t="shared" si="114"/>
        <v/>
      </c>
      <c r="N146" s="4"/>
      <c r="O146" s="4"/>
      <c r="P146" s="5">
        <f t="shared" si="115"/>
        <v>0</v>
      </c>
      <c r="Q146" s="6" t="str">
        <f t="shared" si="116"/>
        <v/>
      </c>
      <c r="R146" s="4"/>
      <c r="S146" s="4"/>
      <c r="T146" s="5">
        <f t="shared" si="117"/>
        <v>0</v>
      </c>
      <c r="U146" s="6" t="str">
        <f t="shared" si="118"/>
        <v/>
      </c>
      <c r="V146" s="4"/>
      <c r="W146" s="4"/>
      <c r="X146" s="5">
        <f t="shared" si="119"/>
        <v>0</v>
      </c>
      <c r="Y146" s="6" t="str">
        <f t="shared" si="120"/>
        <v/>
      </c>
      <c r="Z146" s="4"/>
      <c r="AA146" s="5">
        <f>23000</f>
        <v>23000</v>
      </c>
      <c r="AB146" s="5">
        <f t="shared" si="121"/>
        <v>-23000</v>
      </c>
      <c r="AC146" s="6">
        <f t="shared" si="122"/>
        <v>0</v>
      </c>
      <c r="AD146" s="5">
        <f t="shared" si="123"/>
        <v>0</v>
      </c>
      <c r="AE146" s="5">
        <f t="shared" si="124"/>
        <v>23000</v>
      </c>
      <c r="AF146" s="5">
        <f t="shared" si="125"/>
        <v>-23000</v>
      </c>
      <c r="AG146" s="6">
        <f t="shared" si="126"/>
        <v>0</v>
      </c>
    </row>
    <row r="147" spans="1:33" x14ac:dyDescent="0.25">
      <c r="A147" s="3" t="s">
        <v>151</v>
      </c>
      <c r="B147" s="7">
        <f>((B144)+(B145))+(B146)</f>
        <v>0</v>
      </c>
      <c r="C147" s="7">
        <f>((C144)+(C145))+(C146)</f>
        <v>0</v>
      </c>
      <c r="D147" s="7">
        <f t="shared" si="109"/>
        <v>0</v>
      </c>
      <c r="E147" s="8" t="str">
        <f t="shared" si="110"/>
        <v/>
      </c>
      <c r="F147" s="7">
        <f>((F144)+(F145))+(F146)</f>
        <v>0</v>
      </c>
      <c r="G147" s="7">
        <f>((G144)+(G145))+(G146)</f>
        <v>0</v>
      </c>
      <c r="H147" s="7">
        <f t="shared" si="111"/>
        <v>0</v>
      </c>
      <c r="I147" s="8" t="str">
        <f t="shared" si="112"/>
        <v/>
      </c>
      <c r="J147" s="7">
        <f>((J144)+(J145))+(J146)</f>
        <v>0</v>
      </c>
      <c r="K147" s="7">
        <f>((K144)+(K145))+(K146)</f>
        <v>0</v>
      </c>
      <c r="L147" s="7">
        <f t="shared" si="113"/>
        <v>0</v>
      </c>
      <c r="M147" s="8" t="str">
        <f t="shared" si="114"/>
        <v/>
      </c>
      <c r="N147" s="7">
        <f>((N144)+(N145))+(N146)</f>
        <v>0</v>
      </c>
      <c r="O147" s="7">
        <f>((O144)+(O145))+(O146)</f>
        <v>0</v>
      </c>
      <c r="P147" s="7">
        <f t="shared" si="115"/>
        <v>0</v>
      </c>
      <c r="Q147" s="8" t="str">
        <f t="shared" si="116"/>
        <v/>
      </c>
      <c r="R147" s="7">
        <f>((R144)+(R145))+(R146)</f>
        <v>0</v>
      </c>
      <c r="S147" s="7">
        <f>((S144)+(S145))+(S146)</f>
        <v>0</v>
      </c>
      <c r="T147" s="7">
        <f t="shared" si="117"/>
        <v>0</v>
      </c>
      <c r="U147" s="8" t="str">
        <f t="shared" si="118"/>
        <v/>
      </c>
      <c r="V147" s="7">
        <f>((V144)+(V145))+(V146)</f>
        <v>0</v>
      </c>
      <c r="W147" s="7">
        <f>((W144)+(W145))+(W146)</f>
        <v>0</v>
      </c>
      <c r="X147" s="7">
        <f t="shared" si="119"/>
        <v>0</v>
      </c>
      <c r="Y147" s="8" t="str">
        <f t="shared" si="120"/>
        <v/>
      </c>
      <c r="Z147" s="7">
        <f>((Z144)+(Z145))+(Z146)</f>
        <v>0</v>
      </c>
      <c r="AA147" s="7">
        <f>((AA144)+(AA145))+(AA146)</f>
        <v>88000</v>
      </c>
      <c r="AB147" s="7">
        <f t="shared" si="121"/>
        <v>-88000</v>
      </c>
      <c r="AC147" s="8">
        <f t="shared" si="122"/>
        <v>0</v>
      </c>
      <c r="AD147" s="7">
        <f t="shared" si="123"/>
        <v>0</v>
      </c>
      <c r="AE147" s="7">
        <f t="shared" si="124"/>
        <v>88000</v>
      </c>
      <c r="AF147" s="7">
        <f t="shared" si="125"/>
        <v>-88000</v>
      </c>
      <c r="AG147" s="8">
        <f t="shared" si="126"/>
        <v>0</v>
      </c>
    </row>
    <row r="148" spans="1:33" x14ac:dyDescent="0.25">
      <c r="A148" s="3" t="s">
        <v>152</v>
      </c>
      <c r="B148" s="5">
        <f>33.66</f>
        <v>33.659999999999997</v>
      </c>
      <c r="C148" s="4"/>
      <c r="D148" s="5">
        <f t="shared" si="109"/>
        <v>33.659999999999997</v>
      </c>
      <c r="E148" s="6" t="str">
        <f t="shared" si="110"/>
        <v/>
      </c>
      <c r="F148" s="4"/>
      <c r="G148" s="4"/>
      <c r="H148" s="5">
        <f t="shared" si="111"/>
        <v>0</v>
      </c>
      <c r="I148" s="6" t="str">
        <f t="shared" si="112"/>
        <v/>
      </c>
      <c r="J148" s="4"/>
      <c r="K148" s="4"/>
      <c r="L148" s="5">
        <f t="shared" si="113"/>
        <v>0</v>
      </c>
      <c r="M148" s="6" t="str">
        <f t="shared" si="114"/>
        <v/>
      </c>
      <c r="N148" s="4"/>
      <c r="O148" s="4"/>
      <c r="P148" s="5">
        <f t="shared" si="115"/>
        <v>0</v>
      </c>
      <c r="Q148" s="6" t="str">
        <f t="shared" si="116"/>
        <v/>
      </c>
      <c r="R148" s="4"/>
      <c r="S148" s="4"/>
      <c r="T148" s="5">
        <f t="shared" si="117"/>
        <v>0</v>
      </c>
      <c r="U148" s="6" t="str">
        <f t="shared" si="118"/>
        <v/>
      </c>
      <c r="V148" s="4"/>
      <c r="W148" s="4"/>
      <c r="X148" s="5">
        <f t="shared" si="119"/>
        <v>0</v>
      </c>
      <c r="Y148" s="6" t="str">
        <f t="shared" si="120"/>
        <v/>
      </c>
      <c r="Z148" s="4"/>
      <c r="AA148" s="4"/>
      <c r="AB148" s="5">
        <f t="shared" si="121"/>
        <v>0</v>
      </c>
      <c r="AC148" s="6" t="str">
        <f t="shared" si="122"/>
        <v/>
      </c>
      <c r="AD148" s="5">
        <f t="shared" si="123"/>
        <v>33.659999999999997</v>
      </c>
      <c r="AE148" s="5">
        <f t="shared" si="124"/>
        <v>0</v>
      </c>
      <c r="AF148" s="5">
        <f t="shared" si="125"/>
        <v>33.659999999999997</v>
      </c>
      <c r="AG148" s="6" t="str">
        <f t="shared" si="126"/>
        <v/>
      </c>
    </row>
    <row r="149" spans="1:33" x14ac:dyDescent="0.25">
      <c r="A149" s="3" t="s">
        <v>153</v>
      </c>
      <c r="B149" s="4"/>
      <c r="C149" s="4"/>
      <c r="D149" s="5">
        <f t="shared" si="109"/>
        <v>0</v>
      </c>
      <c r="E149" s="6" t="str">
        <f t="shared" si="110"/>
        <v/>
      </c>
      <c r="F149" s="4"/>
      <c r="G149" s="4"/>
      <c r="H149" s="5">
        <f t="shared" si="111"/>
        <v>0</v>
      </c>
      <c r="I149" s="6" t="str">
        <f t="shared" si="112"/>
        <v/>
      </c>
      <c r="J149" s="4"/>
      <c r="K149" s="4"/>
      <c r="L149" s="5">
        <f t="shared" si="113"/>
        <v>0</v>
      </c>
      <c r="M149" s="6" t="str">
        <f t="shared" si="114"/>
        <v/>
      </c>
      <c r="N149" s="4"/>
      <c r="O149" s="4"/>
      <c r="P149" s="5">
        <f t="shared" si="115"/>
        <v>0</v>
      </c>
      <c r="Q149" s="6" t="str">
        <f t="shared" si="116"/>
        <v/>
      </c>
      <c r="R149" s="4"/>
      <c r="S149" s="4"/>
      <c r="T149" s="5">
        <f t="shared" si="117"/>
        <v>0</v>
      </c>
      <c r="U149" s="6" t="str">
        <f t="shared" si="118"/>
        <v/>
      </c>
      <c r="V149" s="4"/>
      <c r="W149" s="4"/>
      <c r="X149" s="5">
        <f t="shared" si="119"/>
        <v>0</v>
      </c>
      <c r="Y149" s="6" t="str">
        <f t="shared" si="120"/>
        <v/>
      </c>
      <c r="Z149" s="5">
        <f>16958.2</f>
        <v>16958.2</v>
      </c>
      <c r="AA149" s="5">
        <v>24000</v>
      </c>
      <c r="AB149" s="5">
        <f t="shared" si="121"/>
        <v>-7041.7999999999993</v>
      </c>
      <c r="AC149" s="6">
        <f t="shared" si="122"/>
        <v>0.70659166666666673</v>
      </c>
      <c r="AD149" s="5">
        <f t="shared" si="123"/>
        <v>16958.2</v>
      </c>
      <c r="AE149" s="5">
        <f t="shared" si="124"/>
        <v>24000</v>
      </c>
      <c r="AF149" s="5">
        <f t="shared" si="125"/>
        <v>-7041.7999999999993</v>
      </c>
      <c r="AG149" s="6">
        <f t="shared" si="126"/>
        <v>0.70659166666666673</v>
      </c>
    </row>
    <row r="150" spans="1:33" x14ac:dyDescent="0.25">
      <c r="A150" s="3" t="s">
        <v>154</v>
      </c>
      <c r="B150" s="5">
        <v>16.5</v>
      </c>
      <c r="C150" s="4">
        <v>50</v>
      </c>
      <c r="D150" s="5">
        <f t="shared" si="109"/>
        <v>-33.5</v>
      </c>
      <c r="E150" s="6">
        <f t="shared" si="110"/>
        <v>0.33</v>
      </c>
      <c r="F150" s="4"/>
      <c r="G150" s="4"/>
      <c r="H150" s="5">
        <f t="shared" si="111"/>
        <v>0</v>
      </c>
      <c r="I150" s="6" t="str">
        <f t="shared" si="112"/>
        <v/>
      </c>
      <c r="J150" s="4"/>
      <c r="K150" s="4"/>
      <c r="L150" s="5">
        <f t="shared" si="113"/>
        <v>0</v>
      </c>
      <c r="M150" s="6" t="str">
        <f t="shared" si="114"/>
        <v/>
      </c>
      <c r="N150" s="4"/>
      <c r="O150" s="4"/>
      <c r="P150" s="5">
        <f t="shared" si="115"/>
        <v>0</v>
      </c>
      <c r="Q150" s="6" t="str">
        <f t="shared" si="116"/>
        <v/>
      </c>
      <c r="R150" s="4"/>
      <c r="S150" s="4"/>
      <c r="T150" s="5">
        <f t="shared" si="117"/>
        <v>0</v>
      </c>
      <c r="U150" s="6" t="str">
        <f t="shared" si="118"/>
        <v/>
      </c>
      <c r="V150" s="4"/>
      <c r="W150" s="4"/>
      <c r="X150" s="5">
        <f t="shared" si="119"/>
        <v>0</v>
      </c>
      <c r="Y150" s="6" t="str">
        <f t="shared" si="120"/>
        <v/>
      </c>
      <c r="Z150" s="4"/>
      <c r="AA150" s="4"/>
      <c r="AB150" s="5">
        <f t="shared" si="121"/>
        <v>0</v>
      </c>
      <c r="AC150" s="6" t="str">
        <f t="shared" si="122"/>
        <v/>
      </c>
      <c r="AD150" s="5">
        <f t="shared" si="123"/>
        <v>16.5</v>
      </c>
      <c r="AE150" s="5">
        <f t="shared" si="124"/>
        <v>50</v>
      </c>
      <c r="AF150" s="5">
        <f t="shared" si="125"/>
        <v>-33.5</v>
      </c>
      <c r="AG150" s="6">
        <f t="shared" si="126"/>
        <v>0.33</v>
      </c>
    </row>
    <row r="151" spans="1:33" x14ac:dyDescent="0.25">
      <c r="A151" s="3" t="s">
        <v>155</v>
      </c>
      <c r="B151" s="4">
        <v>779.04</v>
      </c>
      <c r="C151" s="4">
        <v>800</v>
      </c>
      <c r="D151" s="5">
        <f t="shared" si="109"/>
        <v>-20.960000000000036</v>
      </c>
      <c r="E151" s="6">
        <f t="shared" si="110"/>
        <v>0.9738</v>
      </c>
      <c r="F151" s="4"/>
      <c r="G151" s="4"/>
      <c r="H151" s="5">
        <f t="shared" si="111"/>
        <v>0</v>
      </c>
      <c r="I151" s="6" t="str">
        <f t="shared" si="112"/>
        <v/>
      </c>
      <c r="J151" s="4"/>
      <c r="K151" s="4"/>
      <c r="L151" s="5">
        <f t="shared" si="113"/>
        <v>0</v>
      </c>
      <c r="M151" s="6" t="str">
        <f t="shared" si="114"/>
        <v/>
      </c>
      <c r="N151" s="5">
        <v>0</v>
      </c>
      <c r="O151" s="5">
        <v>0</v>
      </c>
      <c r="P151" s="5">
        <f t="shared" si="115"/>
        <v>0</v>
      </c>
      <c r="Q151" s="6" t="str">
        <f t="shared" si="116"/>
        <v/>
      </c>
      <c r="R151" s="4"/>
      <c r="S151" s="4"/>
      <c r="T151" s="5">
        <f t="shared" si="117"/>
        <v>0</v>
      </c>
      <c r="U151" s="6" t="str">
        <f t="shared" si="118"/>
        <v/>
      </c>
      <c r="V151" s="4"/>
      <c r="W151" s="4"/>
      <c r="X151" s="5">
        <f t="shared" si="119"/>
        <v>0</v>
      </c>
      <c r="Y151" s="6" t="str">
        <f t="shared" si="120"/>
        <v/>
      </c>
      <c r="Z151" s="5">
        <v>0</v>
      </c>
      <c r="AA151" s="5">
        <v>0</v>
      </c>
      <c r="AB151" s="5">
        <f t="shared" si="121"/>
        <v>0</v>
      </c>
      <c r="AC151" s="6" t="str">
        <f t="shared" si="122"/>
        <v/>
      </c>
      <c r="AD151" s="5">
        <f t="shared" si="123"/>
        <v>779.04</v>
      </c>
      <c r="AE151" s="5">
        <f t="shared" si="124"/>
        <v>800</v>
      </c>
      <c r="AF151" s="5">
        <f t="shared" si="125"/>
        <v>-20.960000000000036</v>
      </c>
      <c r="AG151" s="6">
        <f t="shared" si="126"/>
        <v>0.9738</v>
      </c>
    </row>
    <row r="152" spans="1:33" x14ac:dyDescent="0.25">
      <c r="A152" s="3" t="s">
        <v>156</v>
      </c>
      <c r="B152" s="7">
        <f>(((B148)+(B149))+(B150))+(B151)</f>
        <v>829.19999999999993</v>
      </c>
      <c r="C152" s="7">
        <f>(((C148)+(C149))+(C150))+(C151)</f>
        <v>850</v>
      </c>
      <c r="D152" s="7">
        <f t="shared" si="109"/>
        <v>-20.800000000000068</v>
      </c>
      <c r="E152" s="8">
        <f t="shared" si="110"/>
        <v>0.97552941176470576</v>
      </c>
      <c r="F152" s="7">
        <f>(((F148)+(F149))+(F150))+(F151)</f>
        <v>0</v>
      </c>
      <c r="G152" s="7">
        <f>(((G148)+(G149))+(G150))+(G151)</f>
        <v>0</v>
      </c>
      <c r="H152" s="7">
        <f t="shared" si="111"/>
        <v>0</v>
      </c>
      <c r="I152" s="8" t="str">
        <f t="shared" si="112"/>
        <v/>
      </c>
      <c r="J152" s="7">
        <f>(((J148)+(J149))+(J150))+(J151)</f>
        <v>0</v>
      </c>
      <c r="K152" s="7">
        <f>(((K148)+(K149))+(K150))+(K151)</f>
        <v>0</v>
      </c>
      <c r="L152" s="7">
        <f t="shared" si="113"/>
        <v>0</v>
      </c>
      <c r="M152" s="8" t="str">
        <f t="shared" si="114"/>
        <v/>
      </c>
      <c r="N152" s="7">
        <f>(((N148)+(N149))+(N150))+(N151)</f>
        <v>0</v>
      </c>
      <c r="O152" s="7">
        <f>(((O148)+(O149))+(O150))+(O151)</f>
        <v>0</v>
      </c>
      <c r="P152" s="7">
        <f t="shared" si="115"/>
        <v>0</v>
      </c>
      <c r="Q152" s="8" t="str">
        <f t="shared" si="116"/>
        <v/>
      </c>
      <c r="R152" s="7">
        <f>(((R148)+(R149))+(R150))+(R151)</f>
        <v>0</v>
      </c>
      <c r="S152" s="7">
        <f>(((S148)+(S149))+(S150))+(S151)</f>
        <v>0</v>
      </c>
      <c r="T152" s="7">
        <f t="shared" si="117"/>
        <v>0</v>
      </c>
      <c r="U152" s="8" t="str">
        <f t="shared" si="118"/>
        <v/>
      </c>
      <c r="V152" s="7">
        <f>(((V148)+(V149))+(V150))+(V151)</f>
        <v>0</v>
      </c>
      <c r="W152" s="7">
        <f>(((W148)+(W149))+(W150))+(W151)</f>
        <v>0</v>
      </c>
      <c r="X152" s="7">
        <f t="shared" si="119"/>
        <v>0</v>
      </c>
      <c r="Y152" s="8" t="str">
        <f t="shared" si="120"/>
        <v/>
      </c>
      <c r="Z152" s="7">
        <f>(((Z148)+(Z149))+(Z150))+(Z151)</f>
        <v>16958.2</v>
      </c>
      <c r="AA152" s="7">
        <f>(((AA148)+(AA149))+(AA150))+(AA151)</f>
        <v>24000</v>
      </c>
      <c r="AB152" s="7">
        <f t="shared" si="121"/>
        <v>-7041.7999999999993</v>
      </c>
      <c r="AC152" s="8">
        <f t="shared" si="122"/>
        <v>0.70659166666666673</v>
      </c>
      <c r="AD152" s="7">
        <f t="shared" si="123"/>
        <v>17787.400000000001</v>
      </c>
      <c r="AE152" s="7">
        <f t="shared" si="124"/>
        <v>24850</v>
      </c>
      <c r="AF152" s="7">
        <f t="shared" si="125"/>
        <v>-7062.5999999999985</v>
      </c>
      <c r="AG152" s="8">
        <f t="shared" si="126"/>
        <v>0.71579074446680091</v>
      </c>
    </row>
    <row r="153" spans="1:33" x14ac:dyDescent="0.25">
      <c r="A153" s="3" t="s">
        <v>157</v>
      </c>
      <c r="B153" s="5">
        <f>156</f>
        <v>156</v>
      </c>
      <c r="C153" s="4">
        <v>150</v>
      </c>
      <c r="D153" s="5">
        <f t="shared" si="109"/>
        <v>6</v>
      </c>
      <c r="E153" s="6">
        <f t="shared" si="110"/>
        <v>1.04</v>
      </c>
      <c r="F153" s="4"/>
      <c r="G153" s="4"/>
      <c r="H153" s="5">
        <f t="shared" si="111"/>
        <v>0</v>
      </c>
      <c r="I153" s="6" t="str">
        <f t="shared" si="112"/>
        <v/>
      </c>
      <c r="J153" s="4"/>
      <c r="K153" s="4"/>
      <c r="L153" s="5">
        <f t="shared" si="113"/>
        <v>0</v>
      </c>
      <c r="M153" s="6" t="str">
        <f t="shared" si="114"/>
        <v/>
      </c>
      <c r="N153" s="4"/>
      <c r="O153" s="4"/>
      <c r="P153" s="5">
        <f t="shared" si="115"/>
        <v>0</v>
      </c>
      <c r="Q153" s="6" t="str">
        <f t="shared" si="116"/>
        <v/>
      </c>
      <c r="R153" s="4"/>
      <c r="S153" s="4"/>
      <c r="T153" s="5">
        <f t="shared" si="117"/>
        <v>0</v>
      </c>
      <c r="U153" s="6" t="str">
        <f t="shared" si="118"/>
        <v/>
      </c>
      <c r="V153" s="4"/>
      <c r="W153" s="4"/>
      <c r="X153" s="5">
        <f t="shared" si="119"/>
        <v>0</v>
      </c>
      <c r="Y153" s="6" t="str">
        <f t="shared" si="120"/>
        <v/>
      </c>
      <c r="Z153" s="4"/>
      <c r="AA153" s="4"/>
      <c r="AB153" s="5">
        <f t="shared" si="121"/>
        <v>0</v>
      </c>
      <c r="AC153" s="6" t="str">
        <f t="shared" si="122"/>
        <v/>
      </c>
      <c r="AD153" s="5">
        <f t="shared" si="123"/>
        <v>156</v>
      </c>
      <c r="AE153" s="5">
        <f t="shared" si="124"/>
        <v>150</v>
      </c>
      <c r="AF153" s="5">
        <f t="shared" si="125"/>
        <v>6</v>
      </c>
      <c r="AG153" s="6">
        <f t="shared" si="126"/>
        <v>1.04</v>
      </c>
    </row>
    <row r="154" spans="1:33" x14ac:dyDescent="0.25">
      <c r="A154" s="3" t="s">
        <v>158</v>
      </c>
      <c r="B154" s="7">
        <f>((B147)+(B152))+(B153)</f>
        <v>985.19999999999993</v>
      </c>
      <c r="C154" s="7">
        <f>((C147)+(C152))+(C153)</f>
        <v>1000</v>
      </c>
      <c r="D154" s="7">
        <f t="shared" si="109"/>
        <v>-14.800000000000068</v>
      </c>
      <c r="E154" s="8">
        <f t="shared" si="110"/>
        <v>0.98519999999999996</v>
      </c>
      <c r="F154" s="7">
        <f>((F147)+(F152))+(F153)</f>
        <v>0</v>
      </c>
      <c r="G154" s="7">
        <f>((G147)+(G152))+(G153)</f>
        <v>0</v>
      </c>
      <c r="H154" s="7">
        <f t="shared" si="111"/>
        <v>0</v>
      </c>
      <c r="I154" s="8" t="str">
        <f t="shared" si="112"/>
        <v/>
      </c>
      <c r="J154" s="7">
        <f>((J147)+(J152))+(J153)</f>
        <v>0</v>
      </c>
      <c r="K154" s="7">
        <f>((K147)+(K152))+(K153)</f>
        <v>0</v>
      </c>
      <c r="L154" s="7">
        <f t="shared" si="113"/>
        <v>0</v>
      </c>
      <c r="M154" s="8" t="str">
        <f t="shared" si="114"/>
        <v/>
      </c>
      <c r="N154" s="7">
        <f>((N147)+(N152))+(N153)</f>
        <v>0</v>
      </c>
      <c r="O154" s="7">
        <f>((O147)+(O152))+(O153)</f>
        <v>0</v>
      </c>
      <c r="P154" s="7">
        <f t="shared" si="115"/>
        <v>0</v>
      </c>
      <c r="Q154" s="8" t="str">
        <f t="shared" si="116"/>
        <v/>
      </c>
      <c r="R154" s="7">
        <f>((R147)+(R152))+(R153)</f>
        <v>0</v>
      </c>
      <c r="S154" s="7">
        <f>((S147)+(S152))+(S153)</f>
        <v>0</v>
      </c>
      <c r="T154" s="7">
        <f t="shared" si="117"/>
        <v>0</v>
      </c>
      <c r="U154" s="8" t="str">
        <f t="shared" si="118"/>
        <v/>
      </c>
      <c r="V154" s="7">
        <f>((V147)+(V152))+(V153)</f>
        <v>0</v>
      </c>
      <c r="W154" s="7">
        <f>((W147)+(W152))+(W153)</f>
        <v>0</v>
      </c>
      <c r="X154" s="7">
        <f t="shared" si="119"/>
        <v>0</v>
      </c>
      <c r="Y154" s="8" t="str">
        <f t="shared" si="120"/>
        <v/>
      </c>
      <c r="Z154" s="7">
        <f>((Z147)+(Z152))+(Z153)</f>
        <v>16958.2</v>
      </c>
      <c r="AA154" s="7">
        <f>((AA147)+(AA152))+(AA153)</f>
        <v>112000</v>
      </c>
      <c r="AB154" s="7">
        <f t="shared" si="121"/>
        <v>-95041.8</v>
      </c>
      <c r="AC154" s="8">
        <f t="shared" si="122"/>
        <v>0.15141250000000001</v>
      </c>
      <c r="AD154" s="7">
        <f t="shared" si="123"/>
        <v>17943.400000000001</v>
      </c>
      <c r="AE154" s="7">
        <f t="shared" si="124"/>
        <v>113000</v>
      </c>
      <c r="AF154" s="7">
        <f t="shared" si="125"/>
        <v>-95056.6</v>
      </c>
      <c r="AG154" s="8">
        <f t="shared" si="126"/>
        <v>0.15879115044247788</v>
      </c>
    </row>
    <row r="155" spans="1:33" x14ac:dyDescent="0.25">
      <c r="A155" s="3" t="s">
        <v>159</v>
      </c>
      <c r="B155" s="7">
        <f>(B142)-(B154)</f>
        <v>-130.04999999999995</v>
      </c>
      <c r="C155" s="7">
        <f>(C142)-(C154)</f>
        <v>720</v>
      </c>
      <c r="D155" s="7">
        <f t="shared" si="109"/>
        <v>-850.05</v>
      </c>
      <c r="E155" s="8">
        <f t="shared" si="110"/>
        <v>-0.18062499999999992</v>
      </c>
      <c r="F155" s="7">
        <f>(F142)-(F154)</f>
        <v>5.4</v>
      </c>
      <c r="G155" s="7">
        <f>(G142)-(G154)</f>
        <v>360</v>
      </c>
      <c r="H155" s="7">
        <f t="shared" si="111"/>
        <v>-354.6</v>
      </c>
      <c r="I155" s="8">
        <f t="shared" si="112"/>
        <v>1.5000000000000001E-2</v>
      </c>
      <c r="J155" s="7">
        <f>(J142)-(J154)</f>
        <v>0</v>
      </c>
      <c r="K155" s="7">
        <f>(K142)-(K154)</f>
        <v>0</v>
      </c>
      <c r="L155" s="7">
        <f t="shared" si="113"/>
        <v>0</v>
      </c>
      <c r="M155" s="8" t="str">
        <f t="shared" si="114"/>
        <v/>
      </c>
      <c r="N155" s="7">
        <f>(N142)-(N154)</f>
        <v>123.21</v>
      </c>
      <c r="O155" s="7">
        <f>(O142)-(O154)</f>
        <v>360</v>
      </c>
      <c r="P155" s="7">
        <f t="shared" si="115"/>
        <v>-236.79000000000002</v>
      </c>
      <c r="Q155" s="8">
        <f t="shared" si="116"/>
        <v>0.34225</v>
      </c>
      <c r="R155" s="7">
        <f>(R142)-(R154)</f>
        <v>1.35</v>
      </c>
      <c r="S155" s="7">
        <f>(S142)-(S154)</f>
        <v>0</v>
      </c>
      <c r="T155" s="7">
        <f t="shared" si="117"/>
        <v>1.35</v>
      </c>
      <c r="U155" s="8" t="str">
        <f t="shared" si="118"/>
        <v/>
      </c>
      <c r="V155" s="7">
        <f>(V142)-(V154)</f>
        <v>0</v>
      </c>
      <c r="W155" s="7">
        <f>(W142)-(W154)</f>
        <v>0</v>
      </c>
      <c r="X155" s="7">
        <f t="shared" si="119"/>
        <v>0</v>
      </c>
      <c r="Y155" s="8" t="str">
        <f t="shared" si="120"/>
        <v/>
      </c>
      <c r="Z155" s="7">
        <f>(Z142)-(Z154)</f>
        <v>-16667.150000000001</v>
      </c>
      <c r="AA155" s="7">
        <f>(AA142)-(AA154)</f>
        <v>-111640</v>
      </c>
      <c r="AB155" s="7">
        <f t="shared" si="121"/>
        <v>94972.85</v>
      </c>
      <c r="AC155" s="8">
        <f t="shared" si="122"/>
        <v>0.14929371193120747</v>
      </c>
      <c r="AD155" s="7">
        <f t="shared" si="123"/>
        <v>-16667.240000000002</v>
      </c>
      <c r="AE155" s="7">
        <f t="shared" si="124"/>
        <v>-110200</v>
      </c>
      <c r="AF155" s="7">
        <f t="shared" si="125"/>
        <v>93532.76</v>
      </c>
      <c r="AG155" s="8">
        <f t="shared" si="126"/>
        <v>0.1512453720508167</v>
      </c>
    </row>
    <row r="156" spans="1:33" x14ac:dyDescent="0.25">
      <c r="A156" s="3" t="s">
        <v>160</v>
      </c>
      <c r="B156" s="9">
        <f>(B137)+(B155)</f>
        <v>264223.26999999996</v>
      </c>
      <c r="C156" s="9">
        <f>(C137)+(C155)</f>
        <v>114884.33999999997</v>
      </c>
      <c r="D156" s="9">
        <f t="shared" si="109"/>
        <v>149338.93</v>
      </c>
      <c r="E156" s="10">
        <f t="shared" si="110"/>
        <v>2.2999067583971846</v>
      </c>
      <c r="F156" s="9">
        <f>(F137)+(F155)</f>
        <v>-1610.9700000000003</v>
      </c>
      <c r="G156" s="9">
        <f>(G137)+(G155)</f>
        <v>-2830</v>
      </c>
      <c r="H156" s="9">
        <f t="shared" si="111"/>
        <v>1219.0299999999997</v>
      </c>
      <c r="I156" s="10">
        <f t="shared" si="112"/>
        <v>0.56924734982332159</v>
      </c>
      <c r="J156" s="9">
        <f>(J137)+(J155)</f>
        <v>30835.300000000003</v>
      </c>
      <c r="K156" s="9">
        <f>(K137)+(K155)</f>
        <v>25200</v>
      </c>
      <c r="L156" s="9">
        <f t="shared" si="113"/>
        <v>5635.3000000000029</v>
      </c>
      <c r="M156" s="10">
        <f t="shared" si="114"/>
        <v>1.2236230158730159</v>
      </c>
      <c r="N156" s="9">
        <f>(N137)+(N155)</f>
        <v>157996.99999999997</v>
      </c>
      <c r="O156" s="9">
        <f>(O137)+(O155)</f>
        <v>-43806.679999999993</v>
      </c>
      <c r="P156" s="9">
        <f t="shared" si="115"/>
        <v>201803.67999999996</v>
      </c>
      <c r="Q156" s="10">
        <f t="shared" si="116"/>
        <v>-3.6066873819244005</v>
      </c>
      <c r="R156" s="9">
        <f>(R137)+(R155)</f>
        <v>-447.59000000000003</v>
      </c>
      <c r="S156" s="9">
        <f>(S137)+(S155)</f>
        <v>-8875</v>
      </c>
      <c r="T156" s="9">
        <f t="shared" si="117"/>
        <v>8427.41</v>
      </c>
      <c r="U156" s="10">
        <f t="shared" si="118"/>
        <v>5.0432676056338034E-2</v>
      </c>
      <c r="V156" s="9">
        <f>(V137)+(V155)</f>
        <v>-24732.46</v>
      </c>
      <c r="W156" s="9">
        <f>(W137)+(W155)</f>
        <v>-75000</v>
      </c>
      <c r="X156" s="9">
        <f t="shared" si="119"/>
        <v>50267.54</v>
      </c>
      <c r="Y156" s="10">
        <f t="shared" si="120"/>
        <v>0.32976613333333332</v>
      </c>
      <c r="Z156" s="9">
        <f>(Z137)+(Z155)</f>
        <v>51908.149999999987</v>
      </c>
      <c r="AA156" s="9">
        <f>(AA137)+(AA155)</f>
        <v>-164531.68</v>
      </c>
      <c r="AB156" s="9">
        <f t="shared" si="121"/>
        <v>216439.83</v>
      </c>
      <c r="AC156" s="10">
        <f t="shared" si="122"/>
        <v>-0.3154903055751937</v>
      </c>
      <c r="AD156" s="9">
        <f t="shared" si="123"/>
        <v>478172.6999999999</v>
      </c>
      <c r="AE156" s="9">
        <f t="shared" si="124"/>
        <v>-154959.02000000002</v>
      </c>
      <c r="AF156" s="9">
        <f t="shared" si="125"/>
        <v>633131.72</v>
      </c>
      <c r="AG156" s="10">
        <f t="shared" si="126"/>
        <v>-3.0858010072598541</v>
      </c>
    </row>
    <row r="157" spans="1:33" x14ac:dyDescent="0.25">
      <c r="A157" s="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60" spans="1:33" x14ac:dyDescent="0.25">
      <c r="A160" s="21" t="s">
        <v>161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</row>
  </sheetData>
  <mergeCells count="12">
    <mergeCell ref="V5:Y5"/>
    <mergeCell ref="Z5:AC5"/>
    <mergeCell ref="AD5:AG5"/>
    <mergeCell ref="A160:AG160"/>
    <mergeCell ref="A1:AG1"/>
    <mergeCell ref="A2:AG2"/>
    <mergeCell ref="A3:AG3"/>
    <mergeCell ref="B5:E5"/>
    <mergeCell ref="F5:I5"/>
    <mergeCell ref="J5:M5"/>
    <mergeCell ref="N5:Q5"/>
    <mergeCell ref="R5:U5"/>
  </mergeCells>
  <pageMargins left="0.25" right="0.25" top="0.5" bottom="0.25" header="0" footer="0"/>
  <pageSetup paperSize="5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vs. Actuals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Owens</cp:lastModifiedBy>
  <cp:lastPrinted>2025-09-30T17:51:25Z</cp:lastPrinted>
  <dcterms:created xsi:type="dcterms:W3CDTF">2022-07-28T14:51:13Z</dcterms:created>
  <dcterms:modified xsi:type="dcterms:W3CDTF">2025-09-30T17:51:58Z</dcterms:modified>
</cp:coreProperties>
</file>